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127" documentId="8_{AF079C91-77A8-412A-89CD-BEF012A51177}" xr6:coauthVersionLast="47" xr6:coauthVersionMax="47" xr10:uidLastSave="{2878F7BD-B880-4885-AE0C-7B055F9613DE}"/>
  <bookViews>
    <workbookView xWindow="-12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AEA Funding and Payments" sheetId="20" r:id="rId5"/>
    <sheet name="AEA Coding" sheetId="22" r:id="rId6"/>
    <sheet name="Data" sheetId="11" state="hidden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4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6" i="3"/>
  <c r="I331" i="3" s="1"/>
  <c r="AG333" i="20"/>
  <c r="AH333" i="20"/>
  <c r="AI333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8" i="20"/>
  <c r="AH9" i="20"/>
  <c r="AH10" i="20"/>
  <c r="AH11" i="20"/>
  <c r="AH12" i="20"/>
  <c r="AH13" i="20"/>
  <c r="AH14" i="20"/>
  <c r="AH15" i="20"/>
  <c r="AH16" i="20"/>
  <c r="AH17" i="20"/>
  <c r="AH18" i="20"/>
  <c r="AH19" i="20"/>
  <c r="AH20" i="20"/>
  <c r="AH21" i="20"/>
  <c r="AH22" i="20"/>
  <c r="AH23" i="20"/>
  <c r="AH24" i="20"/>
  <c r="AH25" i="20"/>
  <c r="AH26" i="20"/>
  <c r="AH27" i="20"/>
  <c r="AH28" i="20"/>
  <c r="AH29" i="20"/>
  <c r="AH30" i="20"/>
  <c r="AH31" i="20"/>
  <c r="AH32" i="20"/>
  <c r="AH33" i="20"/>
  <c r="AH34" i="20"/>
  <c r="AH35" i="20"/>
  <c r="AH36" i="20"/>
  <c r="AH37" i="20"/>
  <c r="AH38" i="20"/>
  <c r="AH39" i="20"/>
  <c r="AH40" i="20"/>
  <c r="AH41" i="20"/>
  <c r="AH42" i="20"/>
  <c r="AH43" i="20"/>
  <c r="AH44" i="20"/>
  <c r="AH45" i="20"/>
  <c r="AH46" i="20"/>
  <c r="AH47" i="20"/>
  <c r="AH48" i="20"/>
  <c r="AH49" i="20"/>
  <c r="AH50" i="20"/>
  <c r="AH51" i="20"/>
  <c r="AH52" i="20"/>
  <c r="AH53" i="20"/>
  <c r="AH54" i="20"/>
  <c r="AH55" i="20"/>
  <c r="AH56" i="20"/>
  <c r="AH57" i="20"/>
  <c r="AH58" i="20"/>
  <c r="AH59" i="20"/>
  <c r="AH60" i="20"/>
  <c r="AH61" i="20"/>
  <c r="AH62" i="20"/>
  <c r="AH63" i="20"/>
  <c r="AH64" i="20"/>
  <c r="AH65" i="20"/>
  <c r="AH66" i="20"/>
  <c r="AH67" i="20"/>
  <c r="AH68" i="20"/>
  <c r="AH69" i="20"/>
  <c r="AH70" i="20"/>
  <c r="AH71" i="20"/>
  <c r="AH72" i="20"/>
  <c r="AH73" i="20"/>
  <c r="AH74" i="20"/>
  <c r="AH75" i="20"/>
  <c r="AH76" i="20"/>
  <c r="AH77" i="20"/>
  <c r="AH78" i="20"/>
  <c r="AH79" i="20"/>
  <c r="AH80" i="20"/>
  <c r="AH81" i="20"/>
  <c r="AH82" i="20"/>
  <c r="AH83" i="20"/>
  <c r="AH84" i="20"/>
  <c r="AH85" i="20"/>
  <c r="AH86" i="20"/>
  <c r="AH87" i="20"/>
  <c r="AH88" i="20"/>
  <c r="AH89" i="20"/>
  <c r="AH90" i="20"/>
  <c r="AH91" i="20"/>
  <c r="AH92" i="20"/>
  <c r="AH93" i="20"/>
  <c r="AH94" i="20"/>
  <c r="AH95" i="20"/>
  <c r="AH96" i="20"/>
  <c r="AH97" i="20"/>
  <c r="AH98" i="20"/>
  <c r="AH99" i="20"/>
  <c r="AH100" i="20"/>
  <c r="AH101" i="20"/>
  <c r="AH102" i="20"/>
  <c r="AH103" i="20"/>
  <c r="AH104" i="20"/>
  <c r="AH105" i="20"/>
  <c r="AH106" i="20"/>
  <c r="AH107" i="20"/>
  <c r="AH108" i="20"/>
  <c r="AH109" i="20"/>
  <c r="AH110" i="20"/>
  <c r="AH111" i="20"/>
  <c r="AH112" i="20"/>
  <c r="AH113" i="20"/>
  <c r="AH114" i="20"/>
  <c r="AH115" i="20"/>
  <c r="AH116" i="20"/>
  <c r="AH117" i="20"/>
  <c r="AH118" i="20"/>
  <c r="AH119" i="20"/>
  <c r="AH120" i="20"/>
  <c r="AH121" i="20"/>
  <c r="AH122" i="20"/>
  <c r="AH123" i="20"/>
  <c r="AH124" i="20"/>
  <c r="AH125" i="20"/>
  <c r="AH126" i="20"/>
  <c r="AH127" i="20"/>
  <c r="AH128" i="20"/>
  <c r="AH129" i="20"/>
  <c r="AH130" i="20"/>
  <c r="AH131" i="20"/>
  <c r="AH132" i="20"/>
  <c r="AH133" i="20"/>
  <c r="AH134" i="20"/>
  <c r="AH135" i="20"/>
  <c r="AH136" i="20"/>
  <c r="AH137" i="20"/>
  <c r="AH138" i="20"/>
  <c r="AH139" i="20"/>
  <c r="AH140" i="20"/>
  <c r="AH141" i="20"/>
  <c r="AH142" i="20"/>
  <c r="AH143" i="20"/>
  <c r="AH144" i="20"/>
  <c r="AH145" i="20"/>
  <c r="AH146" i="20"/>
  <c r="AH147" i="20"/>
  <c r="AH148" i="20"/>
  <c r="AH149" i="20"/>
  <c r="AH150" i="20"/>
  <c r="AH151" i="20"/>
  <c r="AH152" i="20"/>
  <c r="AH153" i="20"/>
  <c r="AH154" i="20"/>
  <c r="AH155" i="20"/>
  <c r="AH156" i="20"/>
  <c r="AH157" i="20"/>
  <c r="AH158" i="20"/>
  <c r="AH159" i="20"/>
  <c r="AH160" i="20"/>
  <c r="AH161" i="20"/>
  <c r="AH162" i="20"/>
  <c r="AH163" i="20"/>
  <c r="AH164" i="20"/>
  <c r="AH165" i="20"/>
  <c r="AH166" i="20"/>
  <c r="AH167" i="20"/>
  <c r="AH168" i="20"/>
  <c r="AH169" i="20"/>
  <c r="AH170" i="20"/>
  <c r="AH171" i="20"/>
  <c r="AH172" i="20"/>
  <c r="AH173" i="20"/>
  <c r="AH174" i="20"/>
  <c r="AH175" i="20"/>
  <c r="AH176" i="20"/>
  <c r="AH177" i="20"/>
  <c r="AH178" i="20"/>
  <c r="AH179" i="20"/>
  <c r="AH180" i="20"/>
  <c r="AH181" i="20"/>
  <c r="AH182" i="20"/>
  <c r="AH183" i="20"/>
  <c r="AH184" i="20"/>
  <c r="AH185" i="20"/>
  <c r="AH186" i="20"/>
  <c r="AH187" i="20"/>
  <c r="AH188" i="20"/>
  <c r="AH189" i="20"/>
  <c r="AH190" i="20"/>
  <c r="AH191" i="20"/>
  <c r="AH192" i="20"/>
  <c r="AH193" i="20"/>
  <c r="AH194" i="20"/>
  <c r="AH195" i="20"/>
  <c r="AH196" i="20"/>
  <c r="AH197" i="20"/>
  <c r="AH198" i="20"/>
  <c r="AH199" i="20"/>
  <c r="AH200" i="20"/>
  <c r="AH201" i="20"/>
  <c r="AH202" i="20"/>
  <c r="AH203" i="20"/>
  <c r="AH204" i="20"/>
  <c r="AH205" i="20"/>
  <c r="AH206" i="20"/>
  <c r="AH207" i="20"/>
  <c r="AH208" i="20"/>
  <c r="AH209" i="20"/>
  <c r="AH210" i="20"/>
  <c r="AH211" i="20"/>
  <c r="AH212" i="20"/>
  <c r="AH213" i="20"/>
  <c r="AH214" i="20"/>
  <c r="AH215" i="20"/>
  <c r="AH216" i="20"/>
  <c r="AH217" i="20"/>
  <c r="AH218" i="20"/>
  <c r="AH219" i="20"/>
  <c r="AH220" i="20"/>
  <c r="AH221" i="20"/>
  <c r="AH222" i="20"/>
  <c r="AH223" i="20"/>
  <c r="AH224" i="20"/>
  <c r="AH225" i="20"/>
  <c r="AH226" i="20"/>
  <c r="AH227" i="20"/>
  <c r="AH228" i="20"/>
  <c r="AH229" i="20"/>
  <c r="AH230" i="20"/>
  <c r="AH231" i="20"/>
  <c r="AH232" i="20"/>
  <c r="AH233" i="20"/>
  <c r="AH234" i="20"/>
  <c r="AH235" i="20"/>
  <c r="AH236" i="20"/>
  <c r="AH237" i="20"/>
  <c r="AH238" i="20"/>
  <c r="AH239" i="20"/>
  <c r="AH240" i="20"/>
  <c r="AH241" i="20"/>
  <c r="AH242" i="20"/>
  <c r="AH243" i="20"/>
  <c r="AH244" i="20"/>
  <c r="AH245" i="20"/>
  <c r="AH246" i="20"/>
  <c r="AH247" i="20"/>
  <c r="AH248" i="20"/>
  <c r="AH249" i="20"/>
  <c r="AH250" i="20"/>
  <c r="AH251" i="20"/>
  <c r="AH252" i="20"/>
  <c r="AH253" i="20"/>
  <c r="AH254" i="20"/>
  <c r="AH255" i="20"/>
  <c r="AH256" i="20"/>
  <c r="AH257" i="20"/>
  <c r="AH258" i="20"/>
  <c r="AH259" i="20"/>
  <c r="AH260" i="20"/>
  <c r="AH261" i="20"/>
  <c r="AH262" i="20"/>
  <c r="AH263" i="20"/>
  <c r="AH264" i="20"/>
  <c r="AH265" i="20"/>
  <c r="AH266" i="20"/>
  <c r="AH267" i="20"/>
  <c r="AH268" i="20"/>
  <c r="AH269" i="20"/>
  <c r="AH270" i="20"/>
  <c r="AH271" i="20"/>
  <c r="AH272" i="20"/>
  <c r="AH273" i="20"/>
  <c r="AH274" i="20"/>
  <c r="AH275" i="20"/>
  <c r="AH276" i="20"/>
  <c r="AH277" i="20"/>
  <c r="AH278" i="20"/>
  <c r="AH279" i="20"/>
  <c r="AH280" i="20"/>
  <c r="AH281" i="20"/>
  <c r="AH282" i="20"/>
  <c r="AH283" i="20"/>
  <c r="AH284" i="20"/>
  <c r="AH285" i="20"/>
  <c r="AH286" i="20"/>
  <c r="AH287" i="20"/>
  <c r="AH288" i="20"/>
  <c r="AH289" i="20"/>
  <c r="AH290" i="20"/>
  <c r="AH291" i="20"/>
  <c r="AH292" i="20"/>
  <c r="AH293" i="20"/>
  <c r="AH294" i="20"/>
  <c r="AH295" i="20"/>
  <c r="AH296" i="20"/>
  <c r="AH297" i="20"/>
  <c r="AH298" i="20"/>
  <c r="AH299" i="20"/>
  <c r="AH300" i="20"/>
  <c r="AH301" i="20"/>
  <c r="AH302" i="20"/>
  <c r="AH303" i="20"/>
  <c r="AH304" i="20"/>
  <c r="AH305" i="20"/>
  <c r="AH306" i="20"/>
  <c r="AH307" i="20"/>
  <c r="AH308" i="20"/>
  <c r="AH309" i="20"/>
  <c r="AH310" i="20"/>
  <c r="AH311" i="20"/>
  <c r="AH312" i="20"/>
  <c r="AH313" i="20"/>
  <c r="AH314" i="20"/>
  <c r="AH315" i="20"/>
  <c r="AH316" i="20"/>
  <c r="AH317" i="20"/>
  <c r="AH318" i="20"/>
  <c r="AH319" i="20"/>
  <c r="AH320" i="20"/>
  <c r="AH321" i="20"/>
  <c r="AH322" i="20"/>
  <c r="AH323" i="20"/>
  <c r="AH324" i="20"/>
  <c r="AH325" i="20"/>
  <c r="AH326" i="20"/>
  <c r="AH327" i="20"/>
  <c r="AH328" i="20"/>
  <c r="AH329" i="20"/>
  <c r="AH330" i="20"/>
  <c r="AH331" i="20"/>
  <c r="AH332" i="20"/>
  <c r="AH8" i="20"/>
  <c r="AG9" i="20"/>
  <c r="AG10" i="20"/>
  <c r="AG11" i="20"/>
  <c r="AG12" i="20"/>
  <c r="AG13" i="20"/>
  <c r="AG14" i="20"/>
  <c r="AG15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7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8" i="20"/>
  <c r="AF333" i="20"/>
  <c r="AF9" i="20"/>
  <c r="AF10" i="20"/>
  <c r="AF11" i="20"/>
  <c r="AF12" i="20"/>
  <c r="AF13" i="20"/>
  <c r="AF14" i="20"/>
  <c r="AF15" i="20"/>
  <c r="AF16" i="20"/>
  <c r="AF17" i="20"/>
  <c r="AF18" i="20"/>
  <c r="AF19" i="20"/>
  <c r="AF20" i="20"/>
  <c r="AF21" i="20"/>
  <c r="AF22" i="20"/>
  <c r="AF23" i="20"/>
  <c r="AF24" i="20"/>
  <c r="AF25" i="20"/>
  <c r="AF26" i="20"/>
  <c r="AF27" i="20"/>
  <c r="AF28" i="20"/>
  <c r="AF29" i="20"/>
  <c r="AF30" i="20"/>
  <c r="AF31" i="20"/>
  <c r="AF32" i="20"/>
  <c r="AF33" i="20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8" i="20"/>
  <c r="H5" i="3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149" i="20"/>
  <c r="S150" i="20"/>
  <c r="S151" i="20"/>
  <c r="S152" i="20"/>
  <c r="S153" i="20"/>
  <c r="S154" i="20"/>
  <c r="S155" i="20"/>
  <c r="S156" i="20"/>
  <c r="S157" i="20"/>
  <c r="S158" i="20"/>
  <c r="S159" i="20"/>
  <c r="S160" i="20"/>
  <c r="S161" i="20"/>
  <c r="S162" i="20"/>
  <c r="S163" i="20"/>
  <c r="S164" i="20"/>
  <c r="S165" i="20"/>
  <c r="S166" i="20"/>
  <c r="S167" i="20"/>
  <c r="S168" i="20"/>
  <c r="S169" i="20"/>
  <c r="S170" i="20"/>
  <c r="S171" i="20"/>
  <c r="S172" i="20"/>
  <c r="S173" i="20"/>
  <c r="S174" i="20"/>
  <c r="S175" i="20"/>
  <c r="S176" i="20"/>
  <c r="S177" i="20"/>
  <c r="S178" i="20"/>
  <c r="S179" i="20"/>
  <c r="S180" i="20"/>
  <c r="S181" i="20"/>
  <c r="S182" i="20"/>
  <c r="S183" i="20"/>
  <c r="S184" i="20"/>
  <c r="S185" i="20"/>
  <c r="S186" i="20"/>
  <c r="S187" i="20"/>
  <c r="S188" i="20"/>
  <c r="S189" i="20"/>
  <c r="S190" i="20"/>
  <c r="S191" i="20"/>
  <c r="S192" i="20"/>
  <c r="S193" i="20"/>
  <c r="S194" i="20"/>
  <c r="S195" i="20"/>
  <c r="S196" i="20"/>
  <c r="S197" i="20"/>
  <c r="S198" i="20"/>
  <c r="S199" i="20"/>
  <c r="S200" i="20"/>
  <c r="S201" i="20"/>
  <c r="S202" i="20"/>
  <c r="S203" i="20"/>
  <c r="S204" i="20"/>
  <c r="S205" i="20"/>
  <c r="S206" i="20"/>
  <c r="S207" i="20"/>
  <c r="S208" i="20"/>
  <c r="S209" i="20"/>
  <c r="S210" i="20"/>
  <c r="S211" i="20"/>
  <c r="S212" i="20"/>
  <c r="S213" i="20"/>
  <c r="S214" i="20"/>
  <c r="S215" i="20"/>
  <c r="S216" i="20"/>
  <c r="S217" i="20"/>
  <c r="S218" i="20"/>
  <c r="S219" i="20"/>
  <c r="S220" i="20"/>
  <c r="S221" i="20"/>
  <c r="S222" i="20"/>
  <c r="S223" i="20"/>
  <c r="S224" i="20"/>
  <c r="S225" i="20"/>
  <c r="S226" i="20"/>
  <c r="S227" i="20"/>
  <c r="S228" i="20"/>
  <c r="S229" i="20"/>
  <c r="S230" i="20"/>
  <c r="S231" i="20"/>
  <c r="S232" i="20"/>
  <c r="S233" i="20"/>
  <c r="S234" i="20"/>
  <c r="S235" i="20"/>
  <c r="S236" i="20"/>
  <c r="S237" i="20"/>
  <c r="S238" i="20"/>
  <c r="S239" i="20"/>
  <c r="S240" i="20"/>
  <c r="S241" i="20"/>
  <c r="S242" i="20"/>
  <c r="S243" i="20"/>
  <c r="S244" i="20"/>
  <c r="S245" i="20"/>
  <c r="S246" i="20"/>
  <c r="S247" i="20"/>
  <c r="S248" i="20"/>
  <c r="S249" i="20"/>
  <c r="S250" i="20"/>
  <c r="S251" i="20"/>
  <c r="S252" i="20"/>
  <c r="S253" i="20"/>
  <c r="S254" i="20"/>
  <c r="S255" i="20"/>
  <c r="S256" i="20"/>
  <c r="S257" i="20"/>
  <c r="S258" i="20"/>
  <c r="S259" i="20"/>
  <c r="S260" i="20"/>
  <c r="S261" i="20"/>
  <c r="S262" i="20"/>
  <c r="S263" i="20"/>
  <c r="S264" i="20"/>
  <c r="S265" i="20"/>
  <c r="S266" i="20"/>
  <c r="S267" i="20"/>
  <c r="S268" i="20"/>
  <c r="S269" i="20"/>
  <c r="S270" i="20"/>
  <c r="S271" i="20"/>
  <c r="S272" i="20"/>
  <c r="S273" i="20"/>
  <c r="S274" i="20"/>
  <c r="S275" i="20"/>
  <c r="S276" i="20"/>
  <c r="S277" i="20"/>
  <c r="S278" i="20"/>
  <c r="S279" i="20"/>
  <c r="S280" i="20"/>
  <c r="S281" i="20"/>
  <c r="S282" i="20"/>
  <c r="S283" i="20"/>
  <c r="S284" i="20"/>
  <c r="S285" i="20"/>
  <c r="S286" i="20"/>
  <c r="S287" i="20"/>
  <c r="S288" i="20"/>
  <c r="S289" i="20"/>
  <c r="S290" i="20"/>
  <c r="S291" i="20"/>
  <c r="S292" i="20"/>
  <c r="S293" i="20"/>
  <c r="S294" i="20"/>
  <c r="S295" i="20"/>
  <c r="S296" i="20"/>
  <c r="S297" i="20"/>
  <c r="S298" i="20"/>
  <c r="S299" i="20"/>
  <c r="S300" i="20"/>
  <c r="S301" i="20"/>
  <c r="S302" i="20"/>
  <c r="S303" i="20"/>
  <c r="S304" i="20"/>
  <c r="S305" i="20"/>
  <c r="S306" i="20"/>
  <c r="S307" i="20"/>
  <c r="S308" i="20"/>
  <c r="S309" i="20"/>
  <c r="S310" i="20"/>
  <c r="S311" i="20"/>
  <c r="S312" i="20"/>
  <c r="S313" i="20"/>
  <c r="S314" i="20"/>
  <c r="S315" i="20"/>
  <c r="S316" i="20"/>
  <c r="S317" i="20"/>
  <c r="S318" i="20"/>
  <c r="S319" i="20"/>
  <c r="S320" i="20"/>
  <c r="S321" i="20"/>
  <c r="S322" i="20"/>
  <c r="S323" i="20"/>
  <c r="S324" i="20"/>
  <c r="S325" i="20"/>
  <c r="S326" i="20"/>
  <c r="S327" i="20"/>
  <c r="S328" i="20"/>
  <c r="S329" i="20"/>
  <c r="S330" i="20"/>
  <c r="S331" i="20"/>
  <c r="S332" i="20"/>
  <c r="S8" i="20"/>
  <c r="AC333" i="20"/>
  <c r="AD333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292" i="20"/>
  <c r="AC293" i="20"/>
  <c r="AC294" i="20"/>
  <c r="AC295" i="20"/>
  <c r="AC296" i="20"/>
  <c r="AC297" i="20"/>
  <c r="AC298" i="20"/>
  <c r="AC299" i="20"/>
  <c r="AC300" i="20"/>
  <c r="AC301" i="20"/>
  <c r="AC302" i="20"/>
  <c r="AC303" i="20"/>
  <c r="AC304" i="20"/>
  <c r="AC305" i="20"/>
  <c r="AC306" i="20"/>
  <c r="AC307" i="20"/>
  <c r="AC308" i="20"/>
  <c r="AC309" i="20"/>
  <c r="AC310" i="20"/>
  <c r="AC311" i="20"/>
  <c r="AC312" i="20"/>
  <c r="AC313" i="20"/>
  <c r="AC314" i="20"/>
  <c r="AC315" i="20"/>
  <c r="AC316" i="20"/>
  <c r="AC317" i="20"/>
  <c r="AC318" i="20"/>
  <c r="AC319" i="20"/>
  <c r="AC320" i="20"/>
  <c r="AC321" i="20"/>
  <c r="AC322" i="20"/>
  <c r="AC323" i="20"/>
  <c r="AC324" i="20"/>
  <c r="AC325" i="20"/>
  <c r="AC326" i="20"/>
  <c r="AC327" i="20"/>
  <c r="AC328" i="20"/>
  <c r="AC329" i="20"/>
  <c r="AC330" i="20"/>
  <c r="AC331" i="20"/>
  <c r="AC332" i="20"/>
  <c r="AC8" i="20"/>
  <c r="AB333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8" i="20"/>
  <c r="AA8" i="20"/>
  <c r="AA333" i="20"/>
  <c r="W333" i="20"/>
  <c r="X333" i="20"/>
  <c r="V333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R9" i="20"/>
  <c r="R10" i="20"/>
  <c r="R11" i="20"/>
  <c r="R12" i="20"/>
  <c r="R13" i="20"/>
  <c r="R14" i="20"/>
  <c r="R15" i="20"/>
  <c r="R16" i="20"/>
  <c r="R17" i="20"/>
  <c r="R18" i="20"/>
  <c r="R19" i="20"/>
  <c r="R20" i="20"/>
  <c r="R21" i="20"/>
  <c r="R22" i="20"/>
  <c r="R23" i="20"/>
  <c r="R24" i="20"/>
  <c r="R25" i="20"/>
  <c r="R26" i="20"/>
  <c r="R27" i="20"/>
  <c r="R28" i="20"/>
  <c r="R29" i="20"/>
  <c r="R30" i="20"/>
  <c r="R31" i="20"/>
  <c r="R32" i="20"/>
  <c r="R33" i="20"/>
  <c r="R34" i="20"/>
  <c r="R35" i="20"/>
  <c r="R36" i="20"/>
  <c r="R37" i="20"/>
  <c r="R38" i="20"/>
  <c r="R39" i="20"/>
  <c r="R40" i="20"/>
  <c r="R41" i="20"/>
  <c r="R42" i="20"/>
  <c r="R43" i="20"/>
  <c r="R44" i="20"/>
  <c r="R45" i="20"/>
  <c r="R46" i="20"/>
  <c r="R47" i="20"/>
  <c r="R48" i="20"/>
  <c r="R49" i="20"/>
  <c r="R50" i="20"/>
  <c r="R51" i="20"/>
  <c r="R52" i="20"/>
  <c r="R53" i="20"/>
  <c r="R54" i="20"/>
  <c r="R55" i="20"/>
  <c r="R56" i="20"/>
  <c r="R57" i="20"/>
  <c r="R58" i="20"/>
  <c r="R59" i="20"/>
  <c r="R60" i="20"/>
  <c r="R61" i="20"/>
  <c r="R62" i="20"/>
  <c r="R63" i="20"/>
  <c r="R64" i="20"/>
  <c r="R65" i="20"/>
  <c r="R66" i="20"/>
  <c r="R67" i="20"/>
  <c r="R68" i="20"/>
  <c r="R69" i="20"/>
  <c r="R70" i="20"/>
  <c r="R71" i="20"/>
  <c r="R72" i="20"/>
  <c r="R73" i="20"/>
  <c r="R74" i="20"/>
  <c r="R75" i="20"/>
  <c r="R76" i="20"/>
  <c r="R77" i="20"/>
  <c r="R78" i="20"/>
  <c r="R79" i="20"/>
  <c r="R80" i="20"/>
  <c r="R81" i="20"/>
  <c r="R82" i="20"/>
  <c r="R83" i="20"/>
  <c r="R84" i="20"/>
  <c r="R85" i="20"/>
  <c r="R86" i="20"/>
  <c r="R87" i="20"/>
  <c r="R88" i="20"/>
  <c r="R89" i="20"/>
  <c r="R90" i="20"/>
  <c r="R91" i="20"/>
  <c r="R92" i="20"/>
  <c r="R93" i="20"/>
  <c r="R94" i="20"/>
  <c r="R95" i="20"/>
  <c r="R96" i="20"/>
  <c r="R97" i="20"/>
  <c r="R98" i="20"/>
  <c r="R99" i="20"/>
  <c r="R100" i="20"/>
  <c r="R101" i="20"/>
  <c r="R102" i="20"/>
  <c r="R103" i="20"/>
  <c r="R104" i="20"/>
  <c r="R105" i="20"/>
  <c r="R106" i="20"/>
  <c r="R107" i="20"/>
  <c r="R108" i="20"/>
  <c r="R109" i="20"/>
  <c r="R110" i="20"/>
  <c r="R111" i="20"/>
  <c r="R112" i="20"/>
  <c r="R113" i="20"/>
  <c r="R114" i="20"/>
  <c r="R115" i="20"/>
  <c r="R116" i="20"/>
  <c r="R117" i="20"/>
  <c r="R118" i="20"/>
  <c r="R119" i="20"/>
  <c r="R120" i="20"/>
  <c r="R121" i="20"/>
  <c r="R122" i="20"/>
  <c r="R123" i="20"/>
  <c r="R124" i="20"/>
  <c r="R125" i="20"/>
  <c r="R126" i="20"/>
  <c r="R127" i="20"/>
  <c r="R128" i="20"/>
  <c r="R129" i="20"/>
  <c r="R130" i="20"/>
  <c r="R131" i="20"/>
  <c r="R132" i="20"/>
  <c r="R133" i="20"/>
  <c r="R134" i="20"/>
  <c r="R135" i="20"/>
  <c r="R136" i="20"/>
  <c r="R137" i="20"/>
  <c r="R138" i="20"/>
  <c r="R139" i="20"/>
  <c r="R140" i="20"/>
  <c r="R141" i="20"/>
  <c r="R142" i="20"/>
  <c r="R143" i="20"/>
  <c r="R144" i="20"/>
  <c r="R145" i="20"/>
  <c r="R146" i="20"/>
  <c r="R147" i="20"/>
  <c r="R148" i="20"/>
  <c r="R149" i="20"/>
  <c r="R150" i="20"/>
  <c r="R151" i="20"/>
  <c r="R152" i="20"/>
  <c r="R153" i="20"/>
  <c r="R154" i="20"/>
  <c r="R155" i="20"/>
  <c r="R156" i="20"/>
  <c r="R157" i="20"/>
  <c r="R158" i="20"/>
  <c r="R159" i="20"/>
  <c r="R160" i="20"/>
  <c r="R161" i="20"/>
  <c r="R162" i="20"/>
  <c r="R163" i="20"/>
  <c r="R164" i="20"/>
  <c r="R165" i="20"/>
  <c r="R166" i="20"/>
  <c r="R167" i="20"/>
  <c r="R168" i="20"/>
  <c r="R169" i="20"/>
  <c r="R170" i="20"/>
  <c r="R171" i="20"/>
  <c r="R172" i="20"/>
  <c r="R173" i="20"/>
  <c r="R174" i="20"/>
  <c r="R175" i="20"/>
  <c r="R176" i="20"/>
  <c r="R177" i="20"/>
  <c r="R178" i="20"/>
  <c r="R179" i="20"/>
  <c r="R180" i="20"/>
  <c r="R181" i="20"/>
  <c r="R182" i="20"/>
  <c r="R183" i="20"/>
  <c r="R184" i="20"/>
  <c r="R185" i="20"/>
  <c r="R186" i="20"/>
  <c r="R187" i="20"/>
  <c r="R188" i="20"/>
  <c r="R189" i="20"/>
  <c r="R190" i="20"/>
  <c r="R191" i="20"/>
  <c r="R192" i="20"/>
  <c r="R193" i="20"/>
  <c r="R194" i="20"/>
  <c r="R195" i="20"/>
  <c r="R196" i="20"/>
  <c r="R197" i="20"/>
  <c r="R198" i="20"/>
  <c r="R199" i="20"/>
  <c r="R200" i="20"/>
  <c r="R201" i="20"/>
  <c r="R202" i="20"/>
  <c r="R203" i="20"/>
  <c r="R204" i="20"/>
  <c r="R205" i="20"/>
  <c r="R206" i="20"/>
  <c r="R207" i="20"/>
  <c r="R208" i="20"/>
  <c r="R209" i="20"/>
  <c r="R210" i="20"/>
  <c r="R211" i="20"/>
  <c r="R212" i="20"/>
  <c r="R213" i="20"/>
  <c r="R214" i="20"/>
  <c r="R215" i="20"/>
  <c r="R216" i="20"/>
  <c r="R217" i="20"/>
  <c r="R218" i="20"/>
  <c r="R219" i="20"/>
  <c r="R220" i="20"/>
  <c r="R221" i="20"/>
  <c r="R222" i="20"/>
  <c r="R223" i="20"/>
  <c r="R224" i="20"/>
  <c r="R225" i="20"/>
  <c r="R226" i="20"/>
  <c r="R227" i="20"/>
  <c r="R228" i="20"/>
  <c r="R229" i="20"/>
  <c r="R230" i="20"/>
  <c r="R231" i="20"/>
  <c r="R232" i="20"/>
  <c r="R233" i="20"/>
  <c r="R234" i="20"/>
  <c r="R235" i="20"/>
  <c r="R236" i="20"/>
  <c r="R237" i="20"/>
  <c r="R238" i="20"/>
  <c r="R239" i="20"/>
  <c r="R240" i="20"/>
  <c r="R241" i="20"/>
  <c r="R242" i="20"/>
  <c r="R243" i="20"/>
  <c r="R244" i="20"/>
  <c r="R245" i="20"/>
  <c r="R246" i="20"/>
  <c r="R247" i="20"/>
  <c r="R248" i="20"/>
  <c r="R249" i="20"/>
  <c r="R250" i="20"/>
  <c r="R251" i="20"/>
  <c r="R252" i="20"/>
  <c r="R253" i="20"/>
  <c r="R254" i="20"/>
  <c r="R255" i="20"/>
  <c r="R256" i="20"/>
  <c r="R257" i="20"/>
  <c r="R258" i="20"/>
  <c r="R259" i="20"/>
  <c r="R260" i="20"/>
  <c r="R261" i="20"/>
  <c r="R262" i="20"/>
  <c r="R263" i="20"/>
  <c r="R264" i="20"/>
  <c r="R265" i="20"/>
  <c r="R266" i="20"/>
  <c r="R267" i="20"/>
  <c r="R268" i="20"/>
  <c r="R269" i="20"/>
  <c r="R270" i="20"/>
  <c r="R271" i="20"/>
  <c r="R272" i="20"/>
  <c r="R273" i="20"/>
  <c r="R274" i="20"/>
  <c r="R275" i="20"/>
  <c r="R276" i="20"/>
  <c r="R277" i="20"/>
  <c r="R278" i="20"/>
  <c r="R279" i="20"/>
  <c r="R280" i="20"/>
  <c r="R281" i="20"/>
  <c r="R282" i="20"/>
  <c r="R283" i="20"/>
  <c r="R284" i="20"/>
  <c r="R285" i="20"/>
  <c r="R286" i="20"/>
  <c r="R287" i="20"/>
  <c r="R288" i="20"/>
  <c r="R289" i="20"/>
  <c r="R290" i="20"/>
  <c r="R291" i="20"/>
  <c r="R292" i="20"/>
  <c r="R293" i="20"/>
  <c r="R294" i="20"/>
  <c r="R295" i="20"/>
  <c r="R296" i="20"/>
  <c r="R297" i="20"/>
  <c r="R298" i="20"/>
  <c r="R299" i="20"/>
  <c r="R300" i="20"/>
  <c r="R301" i="20"/>
  <c r="R302" i="20"/>
  <c r="R303" i="20"/>
  <c r="R304" i="20"/>
  <c r="R305" i="20"/>
  <c r="R306" i="20"/>
  <c r="R307" i="20"/>
  <c r="R308" i="20"/>
  <c r="R309" i="20"/>
  <c r="R310" i="20"/>
  <c r="R311" i="20"/>
  <c r="R312" i="20"/>
  <c r="R313" i="20"/>
  <c r="R314" i="20"/>
  <c r="R315" i="20"/>
  <c r="R316" i="20"/>
  <c r="R317" i="20"/>
  <c r="R318" i="20"/>
  <c r="R319" i="20"/>
  <c r="R320" i="20"/>
  <c r="R321" i="20"/>
  <c r="R322" i="20"/>
  <c r="R323" i="20"/>
  <c r="R324" i="20"/>
  <c r="R325" i="20"/>
  <c r="R326" i="20"/>
  <c r="R327" i="20"/>
  <c r="R328" i="20"/>
  <c r="R329" i="20"/>
  <c r="R330" i="20"/>
  <c r="R331" i="20"/>
  <c r="R332" i="20"/>
  <c r="R8" i="20"/>
  <c r="Y9" i="20"/>
  <c r="Y10" i="20"/>
  <c r="Y11" i="20"/>
  <c r="Y12" i="20"/>
  <c r="Y13" i="20"/>
  <c r="Y14" i="20"/>
  <c r="Y15" i="20"/>
  <c r="Y16" i="20"/>
  <c r="Y17" i="20"/>
  <c r="Y18" i="20"/>
  <c r="Y19" i="20"/>
  <c r="Y20" i="20"/>
  <c r="Y21" i="20"/>
  <c r="Y22" i="20"/>
  <c r="Y23" i="20"/>
  <c r="Y24" i="20"/>
  <c r="Y25" i="20"/>
  <c r="Y26" i="20"/>
  <c r="Y27" i="20"/>
  <c r="Y28" i="20"/>
  <c r="Y29" i="20"/>
  <c r="Y30" i="20"/>
  <c r="Y31" i="20"/>
  <c r="Y32" i="20"/>
  <c r="Y33" i="20"/>
  <c r="Y34" i="20"/>
  <c r="Y35" i="20"/>
  <c r="Y36" i="20"/>
  <c r="Y37" i="20"/>
  <c r="Y38" i="20"/>
  <c r="Y39" i="20"/>
  <c r="Y40" i="20"/>
  <c r="Y41" i="20"/>
  <c r="Y42" i="20"/>
  <c r="Y43" i="20"/>
  <c r="Y44" i="20"/>
  <c r="Y45" i="20"/>
  <c r="Y46" i="20"/>
  <c r="Y47" i="20"/>
  <c r="Y48" i="20"/>
  <c r="Y49" i="20"/>
  <c r="Y50" i="20"/>
  <c r="Y51" i="20"/>
  <c r="Y52" i="20"/>
  <c r="Y53" i="20"/>
  <c r="Y54" i="20"/>
  <c r="Y55" i="20"/>
  <c r="Y56" i="20"/>
  <c r="Y57" i="20"/>
  <c r="Y58" i="20"/>
  <c r="Y59" i="20"/>
  <c r="Y60" i="20"/>
  <c r="Y61" i="20"/>
  <c r="Y62" i="20"/>
  <c r="Y63" i="20"/>
  <c r="Y64" i="20"/>
  <c r="Y65" i="20"/>
  <c r="Y66" i="20"/>
  <c r="Y67" i="20"/>
  <c r="Y68" i="20"/>
  <c r="Y69" i="20"/>
  <c r="Y70" i="20"/>
  <c r="Y71" i="20"/>
  <c r="Y72" i="20"/>
  <c r="Y73" i="20"/>
  <c r="Y74" i="20"/>
  <c r="Y75" i="20"/>
  <c r="Y76" i="20"/>
  <c r="Y77" i="20"/>
  <c r="Y78" i="20"/>
  <c r="Y79" i="20"/>
  <c r="Y80" i="20"/>
  <c r="Y81" i="20"/>
  <c r="Y82" i="20"/>
  <c r="Y83" i="20"/>
  <c r="Y84" i="20"/>
  <c r="Y85" i="20"/>
  <c r="Y86" i="20"/>
  <c r="Y87" i="20"/>
  <c r="Y88" i="20"/>
  <c r="Y89" i="20"/>
  <c r="Y90" i="20"/>
  <c r="Y91" i="20"/>
  <c r="Y92" i="20"/>
  <c r="Y93" i="20"/>
  <c r="Y94" i="20"/>
  <c r="Y95" i="20"/>
  <c r="Y96" i="20"/>
  <c r="Y97" i="20"/>
  <c r="Y98" i="20"/>
  <c r="Y99" i="20"/>
  <c r="Y100" i="20"/>
  <c r="Y101" i="20"/>
  <c r="Y102" i="20"/>
  <c r="Y103" i="20"/>
  <c r="Y104" i="20"/>
  <c r="Y105" i="20"/>
  <c r="Y106" i="20"/>
  <c r="Y107" i="20"/>
  <c r="Y108" i="20"/>
  <c r="Y109" i="20"/>
  <c r="Y110" i="20"/>
  <c r="Y111" i="20"/>
  <c r="Y112" i="20"/>
  <c r="Y113" i="20"/>
  <c r="Y114" i="20"/>
  <c r="Y115" i="20"/>
  <c r="Y116" i="20"/>
  <c r="Y117" i="20"/>
  <c r="Y118" i="20"/>
  <c r="Y119" i="20"/>
  <c r="Y120" i="20"/>
  <c r="Y121" i="20"/>
  <c r="Y122" i="20"/>
  <c r="Y123" i="20"/>
  <c r="Y124" i="20"/>
  <c r="Y125" i="20"/>
  <c r="Y126" i="20"/>
  <c r="Y127" i="20"/>
  <c r="Y128" i="20"/>
  <c r="Y129" i="20"/>
  <c r="Y130" i="20"/>
  <c r="Y131" i="20"/>
  <c r="Y132" i="20"/>
  <c r="Y133" i="20"/>
  <c r="Y134" i="20"/>
  <c r="Y135" i="20"/>
  <c r="Y136" i="20"/>
  <c r="Y137" i="20"/>
  <c r="Y138" i="20"/>
  <c r="Y139" i="20"/>
  <c r="Y140" i="20"/>
  <c r="Y141" i="20"/>
  <c r="Y142" i="20"/>
  <c r="Y143" i="20"/>
  <c r="Y144" i="20"/>
  <c r="Y145" i="20"/>
  <c r="Y146" i="20"/>
  <c r="Y147" i="20"/>
  <c r="Y148" i="20"/>
  <c r="Y149" i="20"/>
  <c r="Y150" i="20"/>
  <c r="Y151" i="20"/>
  <c r="Y152" i="20"/>
  <c r="Y153" i="20"/>
  <c r="Y154" i="20"/>
  <c r="Y155" i="20"/>
  <c r="Y156" i="20"/>
  <c r="Y157" i="20"/>
  <c r="Y158" i="20"/>
  <c r="Y159" i="20"/>
  <c r="Y160" i="20"/>
  <c r="Y161" i="20"/>
  <c r="Y162" i="20"/>
  <c r="Y163" i="20"/>
  <c r="Y164" i="20"/>
  <c r="Y165" i="20"/>
  <c r="Y166" i="20"/>
  <c r="Y167" i="20"/>
  <c r="Y168" i="20"/>
  <c r="Y169" i="20"/>
  <c r="Y170" i="20"/>
  <c r="Y171" i="20"/>
  <c r="Y172" i="20"/>
  <c r="Y173" i="20"/>
  <c r="Y174" i="20"/>
  <c r="Y175" i="20"/>
  <c r="Y176" i="20"/>
  <c r="Y177" i="20"/>
  <c r="Y178" i="20"/>
  <c r="Y179" i="20"/>
  <c r="Y180" i="20"/>
  <c r="Y181" i="20"/>
  <c r="Y182" i="20"/>
  <c r="Y183" i="20"/>
  <c r="Y184" i="20"/>
  <c r="Y185" i="20"/>
  <c r="Y186" i="20"/>
  <c r="Y187" i="20"/>
  <c r="Y188" i="20"/>
  <c r="Y189" i="20"/>
  <c r="Y190" i="20"/>
  <c r="Y191" i="20"/>
  <c r="Y192" i="20"/>
  <c r="Y193" i="20"/>
  <c r="Y194" i="20"/>
  <c r="Y195" i="20"/>
  <c r="Y196" i="20"/>
  <c r="Y197" i="20"/>
  <c r="Y198" i="20"/>
  <c r="Y199" i="20"/>
  <c r="Y200" i="20"/>
  <c r="Y201" i="20"/>
  <c r="Y202" i="20"/>
  <c r="Y203" i="20"/>
  <c r="Y204" i="20"/>
  <c r="Y205" i="20"/>
  <c r="Y206" i="20"/>
  <c r="Y207" i="20"/>
  <c r="Y208" i="20"/>
  <c r="Y209" i="20"/>
  <c r="Y210" i="20"/>
  <c r="Y211" i="20"/>
  <c r="Y212" i="20"/>
  <c r="Y213" i="20"/>
  <c r="Y214" i="20"/>
  <c r="Y215" i="20"/>
  <c r="Y216" i="20"/>
  <c r="Y217" i="20"/>
  <c r="Y218" i="20"/>
  <c r="Y219" i="20"/>
  <c r="Y220" i="20"/>
  <c r="Y221" i="20"/>
  <c r="Y222" i="20"/>
  <c r="Y223" i="20"/>
  <c r="Y224" i="20"/>
  <c r="Y225" i="20"/>
  <c r="Y226" i="20"/>
  <c r="Y227" i="20"/>
  <c r="Y228" i="20"/>
  <c r="Y229" i="20"/>
  <c r="Y230" i="20"/>
  <c r="Y231" i="20"/>
  <c r="Y232" i="20"/>
  <c r="Y233" i="20"/>
  <c r="Y234" i="20"/>
  <c r="Y235" i="20"/>
  <c r="Y236" i="20"/>
  <c r="Y237" i="20"/>
  <c r="Y238" i="20"/>
  <c r="Y239" i="20"/>
  <c r="Y240" i="20"/>
  <c r="Y241" i="20"/>
  <c r="Y242" i="20"/>
  <c r="Y243" i="20"/>
  <c r="Y244" i="20"/>
  <c r="Y245" i="20"/>
  <c r="Y246" i="20"/>
  <c r="Y247" i="20"/>
  <c r="Y248" i="20"/>
  <c r="Y249" i="20"/>
  <c r="Y250" i="20"/>
  <c r="Y251" i="20"/>
  <c r="Y252" i="20"/>
  <c r="Y253" i="20"/>
  <c r="Y254" i="20"/>
  <c r="Y255" i="20"/>
  <c r="Y256" i="20"/>
  <c r="Y257" i="20"/>
  <c r="Y258" i="20"/>
  <c r="Y259" i="20"/>
  <c r="Y260" i="20"/>
  <c r="Y261" i="20"/>
  <c r="Y262" i="20"/>
  <c r="Y263" i="20"/>
  <c r="Y264" i="20"/>
  <c r="Y265" i="20"/>
  <c r="Y266" i="20"/>
  <c r="Y267" i="20"/>
  <c r="Y268" i="20"/>
  <c r="Y269" i="20"/>
  <c r="Y270" i="20"/>
  <c r="Y271" i="20"/>
  <c r="Y272" i="20"/>
  <c r="Y273" i="20"/>
  <c r="Y274" i="20"/>
  <c r="Y275" i="20"/>
  <c r="Y276" i="20"/>
  <c r="Y277" i="20"/>
  <c r="Y278" i="20"/>
  <c r="Y279" i="20"/>
  <c r="Y280" i="20"/>
  <c r="Y281" i="20"/>
  <c r="Y282" i="20"/>
  <c r="Y283" i="20"/>
  <c r="Y284" i="20"/>
  <c r="Y285" i="20"/>
  <c r="Y286" i="20"/>
  <c r="Y287" i="20"/>
  <c r="Y288" i="20"/>
  <c r="Y289" i="20"/>
  <c r="Y290" i="20"/>
  <c r="Y291" i="20"/>
  <c r="Y292" i="20"/>
  <c r="Y293" i="20"/>
  <c r="Y294" i="20"/>
  <c r="Y295" i="20"/>
  <c r="Y296" i="20"/>
  <c r="Y297" i="20"/>
  <c r="Y298" i="20"/>
  <c r="Y299" i="20"/>
  <c r="Y300" i="20"/>
  <c r="Y301" i="20"/>
  <c r="Y302" i="20"/>
  <c r="Y303" i="20"/>
  <c r="Y304" i="20"/>
  <c r="Y305" i="20"/>
  <c r="Y306" i="20"/>
  <c r="Y307" i="20"/>
  <c r="Y308" i="20"/>
  <c r="Y309" i="20"/>
  <c r="Y310" i="20"/>
  <c r="Y311" i="20"/>
  <c r="Y312" i="20"/>
  <c r="Y313" i="20"/>
  <c r="Y314" i="20"/>
  <c r="Y315" i="20"/>
  <c r="Y316" i="20"/>
  <c r="Y317" i="20"/>
  <c r="Y318" i="20"/>
  <c r="Y319" i="20"/>
  <c r="Y320" i="20"/>
  <c r="Y321" i="20"/>
  <c r="Y322" i="20"/>
  <c r="Y323" i="20"/>
  <c r="Y324" i="20"/>
  <c r="Y325" i="20"/>
  <c r="Y326" i="20"/>
  <c r="Y327" i="20"/>
  <c r="Y328" i="20"/>
  <c r="Y329" i="20"/>
  <c r="Y330" i="20"/>
  <c r="Y331" i="20"/>
  <c r="Y332" i="20"/>
  <c r="Y8" i="20"/>
  <c r="X9" i="20"/>
  <c r="X10" i="20"/>
  <c r="X11" i="20"/>
  <c r="X12" i="20"/>
  <c r="X13" i="20"/>
  <c r="X14" i="20"/>
  <c r="X15" i="20"/>
  <c r="X16" i="20"/>
  <c r="X17" i="20"/>
  <c r="X18" i="20"/>
  <c r="X19" i="20"/>
  <c r="X20" i="20"/>
  <c r="X21" i="20"/>
  <c r="X22" i="20"/>
  <c r="X23" i="20"/>
  <c r="X24" i="20"/>
  <c r="X25" i="20"/>
  <c r="X26" i="20"/>
  <c r="X27" i="20"/>
  <c r="X28" i="20"/>
  <c r="X29" i="20"/>
  <c r="X30" i="20"/>
  <c r="X31" i="20"/>
  <c r="X32" i="20"/>
  <c r="X33" i="20"/>
  <c r="X34" i="20"/>
  <c r="X35" i="20"/>
  <c r="X36" i="20"/>
  <c r="X37" i="20"/>
  <c r="X38" i="20"/>
  <c r="X39" i="20"/>
  <c r="X40" i="20"/>
  <c r="X41" i="20"/>
  <c r="X42" i="20"/>
  <c r="X43" i="20"/>
  <c r="X44" i="20"/>
  <c r="X45" i="20"/>
  <c r="X46" i="20"/>
  <c r="X47" i="20"/>
  <c r="X48" i="20"/>
  <c r="X49" i="20"/>
  <c r="X50" i="20"/>
  <c r="X51" i="20"/>
  <c r="X52" i="20"/>
  <c r="X53" i="20"/>
  <c r="X54" i="20"/>
  <c r="X55" i="20"/>
  <c r="X56" i="20"/>
  <c r="X57" i="20"/>
  <c r="X58" i="20"/>
  <c r="X59" i="20"/>
  <c r="X60" i="20"/>
  <c r="X61" i="20"/>
  <c r="X62" i="20"/>
  <c r="X63" i="20"/>
  <c r="X64" i="20"/>
  <c r="X65" i="20"/>
  <c r="X66" i="20"/>
  <c r="X67" i="20"/>
  <c r="X68" i="20"/>
  <c r="X69" i="20"/>
  <c r="X70" i="20"/>
  <c r="X71" i="20"/>
  <c r="X72" i="20"/>
  <c r="X73" i="20"/>
  <c r="X74" i="20"/>
  <c r="X75" i="20"/>
  <c r="X76" i="20"/>
  <c r="X77" i="20"/>
  <c r="X78" i="20"/>
  <c r="X79" i="20"/>
  <c r="X80" i="20"/>
  <c r="X81" i="20"/>
  <c r="X82" i="20"/>
  <c r="X83" i="20"/>
  <c r="X84" i="20"/>
  <c r="X85" i="20"/>
  <c r="X86" i="20"/>
  <c r="X87" i="20"/>
  <c r="X88" i="20"/>
  <c r="X89" i="20"/>
  <c r="X90" i="20"/>
  <c r="X91" i="20"/>
  <c r="X92" i="20"/>
  <c r="X93" i="20"/>
  <c r="X94" i="20"/>
  <c r="X95" i="20"/>
  <c r="X96" i="20"/>
  <c r="X97" i="20"/>
  <c r="X98" i="20"/>
  <c r="X99" i="20"/>
  <c r="X100" i="20"/>
  <c r="X101" i="20"/>
  <c r="X102" i="20"/>
  <c r="X103" i="20"/>
  <c r="X104" i="20"/>
  <c r="X105" i="20"/>
  <c r="X106" i="20"/>
  <c r="X107" i="20"/>
  <c r="X108" i="20"/>
  <c r="X109" i="20"/>
  <c r="X110" i="20"/>
  <c r="X111" i="20"/>
  <c r="X112" i="20"/>
  <c r="X113" i="20"/>
  <c r="X114" i="20"/>
  <c r="X115" i="20"/>
  <c r="X116" i="20"/>
  <c r="X117" i="20"/>
  <c r="X118" i="20"/>
  <c r="X119" i="20"/>
  <c r="X120" i="20"/>
  <c r="X121" i="20"/>
  <c r="X122" i="20"/>
  <c r="X123" i="20"/>
  <c r="X124" i="20"/>
  <c r="X125" i="20"/>
  <c r="X126" i="20"/>
  <c r="X127" i="20"/>
  <c r="X128" i="20"/>
  <c r="X129" i="20"/>
  <c r="X130" i="20"/>
  <c r="X131" i="20"/>
  <c r="X132" i="20"/>
  <c r="X133" i="20"/>
  <c r="X134" i="20"/>
  <c r="X135" i="20"/>
  <c r="X136" i="20"/>
  <c r="X137" i="20"/>
  <c r="X138" i="20"/>
  <c r="X139" i="20"/>
  <c r="X140" i="20"/>
  <c r="X141" i="20"/>
  <c r="X142" i="20"/>
  <c r="X143" i="20"/>
  <c r="X144" i="20"/>
  <c r="X145" i="20"/>
  <c r="X146" i="20"/>
  <c r="X147" i="20"/>
  <c r="X148" i="20"/>
  <c r="X149" i="20"/>
  <c r="X150" i="20"/>
  <c r="X151" i="20"/>
  <c r="X152" i="20"/>
  <c r="X153" i="20"/>
  <c r="X154" i="20"/>
  <c r="X155" i="20"/>
  <c r="X156" i="20"/>
  <c r="X157" i="20"/>
  <c r="X158" i="20"/>
  <c r="X159" i="20"/>
  <c r="X160" i="20"/>
  <c r="X161" i="20"/>
  <c r="X162" i="20"/>
  <c r="X163" i="20"/>
  <c r="X164" i="20"/>
  <c r="X165" i="20"/>
  <c r="X166" i="20"/>
  <c r="X167" i="20"/>
  <c r="X168" i="20"/>
  <c r="X169" i="20"/>
  <c r="X170" i="20"/>
  <c r="X171" i="20"/>
  <c r="X172" i="20"/>
  <c r="X173" i="20"/>
  <c r="X174" i="20"/>
  <c r="X175" i="20"/>
  <c r="X176" i="20"/>
  <c r="X177" i="20"/>
  <c r="X178" i="20"/>
  <c r="X179" i="20"/>
  <c r="X180" i="20"/>
  <c r="X181" i="20"/>
  <c r="X182" i="20"/>
  <c r="X183" i="20"/>
  <c r="X184" i="20"/>
  <c r="X185" i="20"/>
  <c r="X186" i="20"/>
  <c r="X187" i="20"/>
  <c r="X188" i="20"/>
  <c r="X189" i="20"/>
  <c r="X190" i="20"/>
  <c r="X191" i="20"/>
  <c r="X192" i="20"/>
  <c r="X193" i="20"/>
  <c r="X194" i="20"/>
  <c r="X195" i="20"/>
  <c r="X196" i="20"/>
  <c r="X197" i="20"/>
  <c r="X198" i="20"/>
  <c r="X199" i="20"/>
  <c r="X200" i="20"/>
  <c r="X201" i="20"/>
  <c r="X202" i="20"/>
  <c r="X203" i="20"/>
  <c r="X204" i="20"/>
  <c r="X205" i="20"/>
  <c r="X206" i="20"/>
  <c r="X207" i="20"/>
  <c r="X208" i="20"/>
  <c r="X209" i="20"/>
  <c r="X210" i="20"/>
  <c r="X211" i="20"/>
  <c r="X212" i="20"/>
  <c r="X213" i="20"/>
  <c r="X214" i="20"/>
  <c r="X215" i="20"/>
  <c r="X216" i="20"/>
  <c r="X217" i="20"/>
  <c r="X218" i="20"/>
  <c r="X219" i="20"/>
  <c r="X220" i="20"/>
  <c r="X221" i="20"/>
  <c r="X222" i="20"/>
  <c r="X223" i="20"/>
  <c r="X224" i="20"/>
  <c r="X225" i="20"/>
  <c r="X226" i="20"/>
  <c r="X227" i="20"/>
  <c r="X228" i="20"/>
  <c r="X229" i="20"/>
  <c r="X230" i="20"/>
  <c r="X231" i="20"/>
  <c r="X232" i="20"/>
  <c r="X233" i="20"/>
  <c r="X234" i="20"/>
  <c r="X235" i="20"/>
  <c r="X236" i="20"/>
  <c r="X237" i="20"/>
  <c r="X238" i="20"/>
  <c r="X239" i="20"/>
  <c r="X240" i="20"/>
  <c r="X241" i="20"/>
  <c r="X242" i="20"/>
  <c r="X243" i="20"/>
  <c r="X244" i="20"/>
  <c r="X245" i="20"/>
  <c r="X246" i="20"/>
  <c r="X247" i="20"/>
  <c r="X248" i="20"/>
  <c r="X249" i="20"/>
  <c r="X250" i="20"/>
  <c r="X251" i="20"/>
  <c r="X252" i="20"/>
  <c r="X253" i="20"/>
  <c r="X254" i="20"/>
  <c r="X255" i="20"/>
  <c r="X256" i="20"/>
  <c r="X257" i="20"/>
  <c r="X258" i="20"/>
  <c r="X259" i="20"/>
  <c r="X260" i="20"/>
  <c r="X261" i="20"/>
  <c r="X262" i="20"/>
  <c r="X263" i="20"/>
  <c r="X264" i="20"/>
  <c r="X265" i="20"/>
  <c r="X266" i="20"/>
  <c r="X267" i="20"/>
  <c r="X268" i="20"/>
  <c r="X269" i="20"/>
  <c r="X270" i="20"/>
  <c r="X271" i="20"/>
  <c r="X272" i="20"/>
  <c r="X273" i="20"/>
  <c r="X274" i="20"/>
  <c r="X275" i="20"/>
  <c r="X276" i="20"/>
  <c r="X277" i="20"/>
  <c r="X278" i="20"/>
  <c r="X279" i="20"/>
  <c r="X280" i="20"/>
  <c r="X281" i="20"/>
  <c r="X282" i="20"/>
  <c r="X283" i="20"/>
  <c r="X284" i="20"/>
  <c r="X285" i="20"/>
  <c r="X286" i="20"/>
  <c r="X287" i="20"/>
  <c r="X288" i="20"/>
  <c r="X289" i="20"/>
  <c r="X290" i="20"/>
  <c r="X291" i="20"/>
  <c r="X292" i="20"/>
  <c r="X293" i="20"/>
  <c r="X294" i="20"/>
  <c r="X295" i="20"/>
  <c r="X296" i="20"/>
  <c r="X297" i="20"/>
  <c r="X298" i="20"/>
  <c r="X299" i="20"/>
  <c r="X300" i="20"/>
  <c r="X301" i="20"/>
  <c r="X302" i="20"/>
  <c r="X303" i="20"/>
  <c r="X304" i="20"/>
  <c r="X305" i="20"/>
  <c r="X306" i="20"/>
  <c r="X307" i="20"/>
  <c r="X308" i="20"/>
  <c r="X309" i="20"/>
  <c r="X310" i="20"/>
  <c r="X311" i="20"/>
  <c r="X312" i="20"/>
  <c r="X313" i="20"/>
  <c r="X314" i="20"/>
  <c r="X315" i="20"/>
  <c r="X316" i="20"/>
  <c r="X317" i="20"/>
  <c r="X318" i="20"/>
  <c r="X319" i="20"/>
  <c r="X320" i="20"/>
  <c r="X321" i="20"/>
  <c r="X322" i="20"/>
  <c r="X323" i="20"/>
  <c r="X324" i="20"/>
  <c r="X325" i="20"/>
  <c r="X326" i="20"/>
  <c r="X327" i="20"/>
  <c r="X328" i="20"/>
  <c r="X329" i="20"/>
  <c r="X330" i="20"/>
  <c r="X331" i="20"/>
  <c r="X332" i="20"/>
  <c r="X8" i="20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W26" i="20"/>
  <c r="W27" i="20"/>
  <c r="W28" i="20"/>
  <c r="W29" i="20"/>
  <c r="W30" i="20"/>
  <c r="W31" i="20"/>
  <c r="W32" i="20"/>
  <c r="W33" i="20"/>
  <c r="W34" i="20"/>
  <c r="W35" i="20"/>
  <c r="W36" i="20"/>
  <c r="W37" i="20"/>
  <c r="W38" i="20"/>
  <c r="W39" i="20"/>
  <c r="W40" i="20"/>
  <c r="W41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63" i="20"/>
  <c r="W64" i="20"/>
  <c r="W65" i="20"/>
  <c r="W66" i="20"/>
  <c r="W67" i="20"/>
  <c r="W68" i="20"/>
  <c r="W69" i="20"/>
  <c r="W70" i="20"/>
  <c r="W71" i="20"/>
  <c r="W72" i="20"/>
  <c r="W73" i="20"/>
  <c r="W74" i="20"/>
  <c r="W75" i="20"/>
  <c r="W76" i="20"/>
  <c r="W77" i="20"/>
  <c r="W78" i="20"/>
  <c r="W79" i="20"/>
  <c r="W80" i="20"/>
  <c r="W81" i="20"/>
  <c r="W82" i="20"/>
  <c r="W83" i="20"/>
  <c r="W84" i="20"/>
  <c r="W85" i="20"/>
  <c r="W86" i="20"/>
  <c r="W87" i="20"/>
  <c r="W88" i="20"/>
  <c r="W89" i="20"/>
  <c r="W90" i="20"/>
  <c r="W91" i="20"/>
  <c r="W92" i="20"/>
  <c r="W93" i="20"/>
  <c r="W94" i="20"/>
  <c r="W95" i="20"/>
  <c r="W96" i="20"/>
  <c r="W97" i="20"/>
  <c r="W98" i="20"/>
  <c r="W99" i="20"/>
  <c r="W100" i="20"/>
  <c r="W101" i="20"/>
  <c r="W102" i="20"/>
  <c r="W103" i="20"/>
  <c r="W104" i="20"/>
  <c r="W105" i="20"/>
  <c r="W106" i="20"/>
  <c r="W107" i="20"/>
  <c r="W108" i="20"/>
  <c r="W109" i="20"/>
  <c r="W110" i="20"/>
  <c r="W111" i="20"/>
  <c r="W112" i="20"/>
  <c r="W113" i="20"/>
  <c r="W114" i="20"/>
  <c r="W115" i="20"/>
  <c r="W116" i="20"/>
  <c r="W117" i="20"/>
  <c r="W118" i="20"/>
  <c r="W119" i="20"/>
  <c r="W120" i="20"/>
  <c r="W121" i="20"/>
  <c r="W122" i="20"/>
  <c r="W123" i="20"/>
  <c r="W124" i="20"/>
  <c r="W125" i="20"/>
  <c r="W126" i="20"/>
  <c r="W127" i="20"/>
  <c r="W128" i="20"/>
  <c r="W129" i="20"/>
  <c r="W130" i="20"/>
  <c r="W131" i="20"/>
  <c r="W132" i="20"/>
  <c r="W133" i="20"/>
  <c r="W134" i="20"/>
  <c r="W135" i="20"/>
  <c r="W136" i="20"/>
  <c r="W137" i="20"/>
  <c r="W138" i="20"/>
  <c r="W139" i="20"/>
  <c r="W140" i="20"/>
  <c r="W141" i="20"/>
  <c r="W142" i="20"/>
  <c r="W143" i="20"/>
  <c r="W144" i="20"/>
  <c r="W145" i="20"/>
  <c r="W146" i="20"/>
  <c r="W147" i="20"/>
  <c r="W148" i="20"/>
  <c r="W149" i="20"/>
  <c r="W150" i="20"/>
  <c r="W151" i="20"/>
  <c r="W152" i="20"/>
  <c r="W153" i="20"/>
  <c r="W154" i="20"/>
  <c r="W155" i="20"/>
  <c r="W156" i="20"/>
  <c r="W157" i="20"/>
  <c r="W158" i="20"/>
  <c r="W159" i="20"/>
  <c r="W160" i="20"/>
  <c r="W161" i="20"/>
  <c r="W162" i="20"/>
  <c r="W163" i="20"/>
  <c r="W164" i="20"/>
  <c r="W165" i="20"/>
  <c r="W166" i="20"/>
  <c r="W167" i="20"/>
  <c r="W168" i="20"/>
  <c r="W169" i="20"/>
  <c r="W170" i="20"/>
  <c r="W171" i="20"/>
  <c r="W172" i="20"/>
  <c r="W173" i="20"/>
  <c r="W174" i="20"/>
  <c r="W175" i="20"/>
  <c r="W176" i="20"/>
  <c r="W177" i="20"/>
  <c r="W178" i="20"/>
  <c r="W179" i="20"/>
  <c r="W180" i="20"/>
  <c r="W181" i="20"/>
  <c r="W182" i="20"/>
  <c r="W183" i="20"/>
  <c r="W184" i="20"/>
  <c r="W185" i="20"/>
  <c r="W186" i="20"/>
  <c r="W187" i="20"/>
  <c r="W188" i="20"/>
  <c r="W189" i="20"/>
  <c r="W190" i="20"/>
  <c r="W191" i="20"/>
  <c r="W192" i="20"/>
  <c r="W193" i="20"/>
  <c r="W194" i="20"/>
  <c r="W195" i="20"/>
  <c r="W196" i="20"/>
  <c r="W197" i="20"/>
  <c r="W198" i="20"/>
  <c r="W199" i="20"/>
  <c r="W200" i="20"/>
  <c r="W201" i="20"/>
  <c r="W202" i="20"/>
  <c r="W203" i="20"/>
  <c r="W204" i="20"/>
  <c r="W205" i="20"/>
  <c r="W206" i="20"/>
  <c r="W207" i="20"/>
  <c r="W208" i="20"/>
  <c r="W209" i="20"/>
  <c r="W210" i="20"/>
  <c r="W211" i="20"/>
  <c r="W212" i="20"/>
  <c r="W213" i="20"/>
  <c r="W214" i="20"/>
  <c r="W215" i="20"/>
  <c r="W216" i="20"/>
  <c r="W217" i="20"/>
  <c r="W218" i="20"/>
  <c r="W219" i="20"/>
  <c r="W220" i="20"/>
  <c r="W221" i="20"/>
  <c r="W222" i="20"/>
  <c r="W223" i="20"/>
  <c r="W224" i="20"/>
  <c r="W225" i="20"/>
  <c r="W226" i="20"/>
  <c r="W227" i="20"/>
  <c r="W228" i="20"/>
  <c r="W229" i="20"/>
  <c r="W230" i="20"/>
  <c r="W231" i="20"/>
  <c r="W232" i="20"/>
  <c r="W233" i="20"/>
  <c r="W234" i="20"/>
  <c r="W235" i="20"/>
  <c r="W236" i="20"/>
  <c r="W237" i="20"/>
  <c r="W238" i="20"/>
  <c r="W239" i="20"/>
  <c r="W240" i="20"/>
  <c r="W241" i="20"/>
  <c r="W242" i="20"/>
  <c r="W243" i="20"/>
  <c r="W244" i="20"/>
  <c r="W245" i="20"/>
  <c r="W246" i="20"/>
  <c r="W247" i="20"/>
  <c r="W248" i="20"/>
  <c r="W249" i="20"/>
  <c r="W250" i="20"/>
  <c r="W251" i="20"/>
  <c r="W252" i="20"/>
  <c r="W253" i="20"/>
  <c r="W254" i="20"/>
  <c r="W255" i="20"/>
  <c r="W256" i="20"/>
  <c r="W257" i="20"/>
  <c r="W258" i="20"/>
  <c r="W259" i="20"/>
  <c r="W260" i="20"/>
  <c r="W261" i="20"/>
  <c r="W262" i="20"/>
  <c r="W263" i="20"/>
  <c r="W264" i="20"/>
  <c r="W265" i="20"/>
  <c r="W266" i="20"/>
  <c r="W267" i="20"/>
  <c r="W268" i="20"/>
  <c r="W269" i="20"/>
  <c r="W270" i="20"/>
  <c r="W271" i="20"/>
  <c r="W272" i="20"/>
  <c r="W273" i="20"/>
  <c r="W274" i="20"/>
  <c r="W275" i="20"/>
  <c r="W276" i="20"/>
  <c r="W277" i="20"/>
  <c r="W278" i="20"/>
  <c r="W279" i="20"/>
  <c r="W280" i="20"/>
  <c r="W281" i="20"/>
  <c r="W282" i="20"/>
  <c r="W283" i="20"/>
  <c r="W284" i="20"/>
  <c r="W285" i="20"/>
  <c r="W286" i="20"/>
  <c r="W287" i="20"/>
  <c r="W288" i="20"/>
  <c r="W289" i="20"/>
  <c r="W290" i="20"/>
  <c r="W291" i="20"/>
  <c r="W292" i="20"/>
  <c r="W293" i="20"/>
  <c r="W294" i="20"/>
  <c r="W295" i="20"/>
  <c r="W296" i="20"/>
  <c r="W297" i="20"/>
  <c r="W298" i="20"/>
  <c r="W299" i="20"/>
  <c r="W300" i="20"/>
  <c r="W301" i="20"/>
  <c r="W302" i="20"/>
  <c r="W303" i="20"/>
  <c r="W304" i="20"/>
  <c r="W305" i="20"/>
  <c r="W306" i="20"/>
  <c r="W307" i="20"/>
  <c r="W308" i="20"/>
  <c r="W309" i="20"/>
  <c r="W310" i="20"/>
  <c r="W311" i="20"/>
  <c r="W312" i="20"/>
  <c r="W313" i="20"/>
  <c r="W314" i="20"/>
  <c r="W315" i="20"/>
  <c r="W316" i="20"/>
  <c r="W317" i="20"/>
  <c r="W318" i="20"/>
  <c r="W319" i="20"/>
  <c r="W320" i="20"/>
  <c r="W321" i="20"/>
  <c r="W322" i="20"/>
  <c r="W323" i="20"/>
  <c r="W324" i="20"/>
  <c r="W325" i="20"/>
  <c r="W326" i="20"/>
  <c r="W327" i="20"/>
  <c r="W328" i="20"/>
  <c r="W329" i="20"/>
  <c r="W330" i="20"/>
  <c r="W331" i="20"/>
  <c r="W332" i="20"/>
  <c r="W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149" i="20"/>
  <c r="V150" i="20"/>
  <c r="V151" i="20"/>
  <c r="V152" i="20"/>
  <c r="V153" i="20"/>
  <c r="V154" i="20"/>
  <c r="V155" i="20"/>
  <c r="V156" i="20"/>
  <c r="V157" i="20"/>
  <c r="V158" i="20"/>
  <c r="V159" i="20"/>
  <c r="V160" i="20"/>
  <c r="V161" i="20"/>
  <c r="V162" i="20"/>
  <c r="V163" i="20"/>
  <c r="V164" i="20"/>
  <c r="V165" i="20"/>
  <c r="V166" i="20"/>
  <c r="V167" i="20"/>
  <c r="V168" i="20"/>
  <c r="V169" i="20"/>
  <c r="V170" i="20"/>
  <c r="V171" i="20"/>
  <c r="V172" i="20"/>
  <c r="V173" i="20"/>
  <c r="V174" i="20"/>
  <c r="V175" i="20"/>
  <c r="V176" i="20"/>
  <c r="V177" i="20"/>
  <c r="V178" i="20"/>
  <c r="V179" i="20"/>
  <c r="V180" i="20"/>
  <c r="V181" i="20"/>
  <c r="V182" i="20"/>
  <c r="V183" i="20"/>
  <c r="V184" i="20"/>
  <c r="V185" i="20"/>
  <c r="V186" i="20"/>
  <c r="V187" i="20"/>
  <c r="V188" i="20"/>
  <c r="V189" i="20"/>
  <c r="V190" i="20"/>
  <c r="V191" i="20"/>
  <c r="V192" i="20"/>
  <c r="V193" i="20"/>
  <c r="V194" i="20"/>
  <c r="V195" i="20"/>
  <c r="V196" i="20"/>
  <c r="V197" i="20"/>
  <c r="V198" i="20"/>
  <c r="V199" i="20"/>
  <c r="V200" i="20"/>
  <c r="V201" i="20"/>
  <c r="V202" i="20"/>
  <c r="V203" i="20"/>
  <c r="V204" i="20"/>
  <c r="V205" i="20"/>
  <c r="V206" i="20"/>
  <c r="V207" i="20"/>
  <c r="V208" i="20"/>
  <c r="V209" i="20"/>
  <c r="V210" i="20"/>
  <c r="V211" i="20"/>
  <c r="V212" i="20"/>
  <c r="V213" i="20"/>
  <c r="V214" i="20"/>
  <c r="V215" i="20"/>
  <c r="V216" i="20"/>
  <c r="V217" i="20"/>
  <c r="V218" i="20"/>
  <c r="V219" i="20"/>
  <c r="V220" i="20"/>
  <c r="V221" i="20"/>
  <c r="V222" i="20"/>
  <c r="V223" i="20"/>
  <c r="V224" i="20"/>
  <c r="V225" i="20"/>
  <c r="V226" i="20"/>
  <c r="V227" i="20"/>
  <c r="V228" i="20"/>
  <c r="V229" i="20"/>
  <c r="V230" i="20"/>
  <c r="V231" i="20"/>
  <c r="V232" i="20"/>
  <c r="V233" i="20"/>
  <c r="V234" i="20"/>
  <c r="V235" i="20"/>
  <c r="V236" i="20"/>
  <c r="V237" i="20"/>
  <c r="V238" i="20"/>
  <c r="V239" i="20"/>
  <c r="V240" i="20"/>
  <c r="V241" i="20"/>
  <c r="V242" i="20"/>
  <c r="V243" i="20"/>
  <c r="V244" i="20"/>
  <c r="V245" i="20"/>
  <c r="V246" i="20"/>
  <c r="V247" i="20"/>
  <c r="V248" i="20"/>
  <c r="V249" i="20"/>
  <c r="V250" i="20"/>
  <c r="V251" i="20"/>
  <c r="V252" i="20"/>
  <c r="V253" i="20"/>
  <c r="V254" i="20"/>
  <c r="V255" i="20"/>
  <c r="V256" i="20"/>
  <c r="V257" i="20"/>
  <c r="V258" i="20"/>
  <c r="V259" i="20"/>
  <c r="V260" i="20"/>
  <c r="V261" i="20"/>
  <c r="V262" i="20"/>
  <c r="V263" i="20"/>
  <c r="V264" i="20"/>
  <c r="V265" i="20"/>
  <c r="V266" i="20"/>
  <c r="V267" i="20"/>
  <c r="V268" i="20"/>
  <c r="V269" i="20"/>
  <c r="V270" i="20"/>
  <c r="V271" i="20"/>
  <c r="V272" i="20"/>
  <c r="V273" i="20"/>
  <c r="V274" i="20"/>
  <c r="V275" i="20"/>
  <c r="V276" i="20"/>
  <c r="V277" i="20"/>
  <c r="V278" i="20"/>
  <c r="V279" i="20"/>
  <c r="V280" i="20"/>
  <c r="V281" i="20"/>
  <c r="V282" i="20"/>
  <c r="V283" i="20"/>
  <c r="V284" i="20"/>
  <c r="V285" i="20"/>
  <c r="V286" i="20"/>
  <c r="V287" i="20"/>
  <c r="V288" i="20"/>
  <c r="V289" i="20"/>
  <c r="V290" i="20"/>
  <c r="V291" i="20"/>
  <c r="V292" i="20"/>
  <c r="V293" i="20"/>
  <c r="V294" i="20"/>
  <c r="V295" i="20"/>
  <c r="V296" i="20"/>
  <c r="V297" i="20"/>
  <c r="V298" i="20"/>
  <c r="V299" i="20"/>
  <c r="V300" i="20"/>
  <c r="V301" i="20"/>
  <c r="V302" i="20"/>
  <c r="V303" i="20"/>
  <c r="V304" i="20"/>
  <c r="V305" i="20"/>
  <c r="V306" i="20"/>
  <c r="V307" i="20"/>
  <c r="V308" i="20"/>
  <c r="V309" i="20"/>
  <c r="V310" i="20"/>
  <c r="V311" i="20"/>
  <c r="V312" i="20"/>
  <c r="V313" i="20"/>
  <c r="V314" i="20"/>
  <c r="V315" i="20"/>
  <c r="V316" i="20"/>
  <c r="V317" i="20"/>
  <c r="V318" i="20"/>
  <c r="V319" i="20"/>
  <c r="V320" i="20"/>
  <c r="V321" i="20"/>
  <c r="V322" i="20"/>
  <c r="V323" i="20"/>
  <c r="V324" i="20"/>
  <c r="V325" i="20"/>
  <c r="V326" i="20"/>
  <c r="V327" i="20"/>
  <c r="V328" i="20"/>
  <c r="V329" i="20"/>
  <c r="V330" i="20"/>
  <c r="V331" i="20"/>
  <c r="V332" i="20"/>
  <c r="V8" i="20"/>
  <c r="H6" i="3"/>
  <c r="W330" i="3"/>
  <c r="C30" i="10"/>
  <c r="S333" i="20" l="1"/>
  <c r="T8" i="20"/>
  <c r="Y333" i="20"/>
  <c r="OH336" i="2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I89" i="20"/>
  <c r="F113" i="20"/>
  <c r="H113" i="20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I111" i="20"/>
  <c r="F119" i="20"/>
  <c r="H119" i="20"/>
  <c r="J119" i="20" s="1"/>
  <c r="I119" i="20"/>
  <c r="H127" i="20"/>
  <c r="J127" i="20" s="1"/>
  <c r="I127" i="20"/>
  <c r="F135" i="20"/>
  <c r="H135" i="20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I239" i="20"/>
  <c r="F247" i="20"/>
  <c r="H247" i="20"/>
  <c r="J247" i="20" s="1"/>
  <c r="I247" i="20"/>
  <c r="H255" i="20"/>
  <c r="I255" i="20"/>
  <c r="F263" i="20"/>
  <c r="H263" i="20"/>
  <c r="I263" i="20"/>
  <c r="H271" i="20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I64" i="20"/>
  <c r="F72" i="20"/>
  <c r="H72" i="20"/>
  <c r="I72" i="20"/>
  <c r="F80" i="20"/>
  <c r="H80" i="20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I128" i="20"/>
  <c r="F136" i="20"/>
  <c r="H136" i="20"/>
  <c r="I136" i="20"/>
  <c r="F144" i="20"/>
  <c r="H144" i="20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I272" i="20"/>
  <c r="F280" i="20"/>
  <c r="I280" i="20"/>
  <c r="H280" i="20"/>
  <c r="F288" i="20"/>
  <c r="I288" i="20"/>
  <c r="H288" i="20"/>
  <c r="F296" i="20"/>
  <c r="I296" i="20"/>
  <c r="H296" i="20"/>
  <c r="F304" i="20"/>
  <c r="I304" i="20"/>
  <c r="H304" i="20"/>
  <c r="F312" i="20"/>
  <c r="I312" i="20"/>
  <c r="H312" i="20"/>
  <c r="F320" i="20"/>
  <c r="I320" i="20"/>
  <c r="H320" i="20"/>
  <c r="F328" i="20"/>
  <c r="I328" i="20"/>
  <c r="H328" i="20"/>
  <c r="F33" i="20"/>
  <c r="H33" i="20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I329" i="20"/>
  <c r="F49" i="20"/>
  <c r="H49" i="20"/>
  <c r="I49" i="20"/>
  <c r="F153" i="20"/>
  <c r="H153" i="20"/>
  <c r="I153" i="20"/>
  <c r="F289" i="20"/>
  <c r="H289" i="20"/>
  <c r="I289" i="20"/>
  <c r="F34" i="20"/>
  <c r="H34" i="20"/>
  <c r="J34" i="20" s="1"/>
  <c r="I34" i="20"/>
  <c r="F74" i="20"/>
  <c r="I74" i="20"/>
  <c r="H74" i="20"/>
  <c r="H90" i="20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I218" i="20"/>
  <c r="F226" i="20"/>
  <c r="H226" i="20"/>
  <c r="J226" i="20" s="1"/>
  <c r="I226" i="20"/>
  <c r="F234" i="20"/>
  <c r="H234" i="20"/>
  <c r="I234" i="20"/>
  <c r="H242" i="20"/>
  <c r="I242" i="20"/>
  <c r="H250" i="20"/>
  <c r="I250" i="20"/>
  <c r="F258" i="20"/>
  <c r="H258" i="20"/>
  <c r="I258" i="20"/>
  <c r="F266" i="20"/>
  <c r="H266" i="20"/>
  <c r="I266" i="20"/>
  <c r="H274" i="20"/>
  <c r="I274" i="20"/>
  <c r="H282" i="20"/>
  <c r="I282" i="20"/>
  <c r="F290" i="20"/>
  <c r="H290" i="20"/>
  <c r="I290" i="20"/>
  <c r="F298" i="20"/>
  <c r="H298" i="20"/>
  <c r="I298" i="20"/>
  <c r="H306" i="20"/>
  <c r="I306" i="20"/>
  <c r="H314" i="20"/>
  <c r="I314" i="20"/>
  <c r="F322" i="20"/>
  <c r="H322" i="20"/>
  <c r="I322" i="20"/>
  <c r="F330" i="20"/>
  <c r="I330" i="20"/>
  <c r="H330" i="20"/>
  <c r="J330" i="20" s="1"/>
  <c r="F65" i="20"/>
  <c r="H65" i="20"/>
  <c r="I65" i="20"/>
  <c r="F145" i="20"/>
  <c r="H145" i="20"/>
  <c r="I145" i="20"/>
  <c r="F217" i="20"/>
  <c r="H217" i="20"/>
  <c r="I217" i="20"/>
  <c r="F313" i="20"/>
  <c r="H313" i="20"/>
  <c r="I313" i="20"/>
  <c r="F42" i="20"/>
  <c r="I42" i="20"/>
  <c r="H42" i="20"/>
  <c r="H43" i="20"/>
  <c r="I43" i="20"/>
  <c r="H91" i="20"/>
  <c r="I91" i="20"/>
  <c r="H139" i="20"/>
  <c r="I139" i="20"/>
  <c r="H179" i="20"/>
  <c r="J179" i="20" s="1"/>
  <c r="I179" i="20"/>
  <c r="H203" i="20"/>
  <c r="I203" i="20"/>
  <c r="H219" i="20"/>
  <c r="I219" i="20"/>
  <c r="H227" i="20"/>
  <c r="I227" i="20"/>
  <c r="H235" i="20"/>
  <c r="J235" i="20" s="1"/>
  <c r="I235" i="20"/>
  <c r="H243" i="20"/>
  <c r="I243" i="20"/>
  <c r="H251" i="20"/>
  <c r="I251" i="20"/>
  <c r="H259" i="20"/>
  <c r="I259" i="20"/>
  <c r="H267" i="20"/>
  <c r="J267" i="20" s="1"/>
  <c r="I267" i="20"/>
  <c r="H275" i="20"/>
  <c r="I275" i="20"/>
  <c r="F283" i="20"/>
  <c r="H283" i="20"/>
  <c r="I283" i="20"/>
  <c r="H291" i="20"/>
  <c r="I291" i="20"/>
  <c r="H299" i="20"/>
  <c r="I299" i="20"/>
  <c r="F307" i="20"/>
  <c r="H307" i="20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I305" i="20"/>
  <c r="H18" i="20"/>
  <c r="I18" i="20"/>
  <c r="H58" i="20"/>
  <c r="I58" i="20"/>
  <c r="H67" i="20"/>
  <c r="J67" i="20" s="1"/>
  <c r="I67" i="20"/>
  <c r="H107" i="20"/>
  <c r="I107" i="20"/>
  <c r="H171" i="20"/>
  <c r="I171" i="20"/>
  <c r="F52" i="20"/>
  <c r="I52" i="20"/>
  <c r="H52" i="20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F212" i="20"/>
  <c r="I212" i="20"/>
  <c r="H212" i="20"/>
  <c r="J212" i="20" s="1"/>
  <c r="F220" i="20"/>
  <c r="I220" i="20"/>
  <c r="H220" i="20"/>
  <c r="F228" i="20"/>
  <c r="I228" i="20"/>
  <c r="H228" i="20"/>
  <c r="F236" i="20"/>
  <c r="I236" i="20"/>
  <c r="H236" i="20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I308" i="20"/>
  <c r="F316" i="20"/>
  <c r="I316" i="20"/>
  <c r="H316" i="20"/>
  <c r="I324" i="20"/>
  <c r="H324" i="20"/>
  <c r="H332" i="20"/>
  <c r="I332" i="20"/>
  <c r="F25" i="20"/>
  <c r="H25" i="20"/>
  <c r="I25" i="20"/>
  <c r="F57" i="20"/>
  <c r="H57" i="20"/>
  <c r="I57" i="20"/>
  <c r="F81" i="20"/>
  <c r="H81" i="20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I82" i="20"/>
  <c r="H11" i="20"/>
  <c r="I11" i="20"/>
  <c r="H19" i="20"/>
  <c r="I19" i="20"/>
  <c r="H27" i="20"/>
  <c r="J27" i="20" s="1"/>
  <c r="I27" i="20"/>
  <c r="H35" i="20"/>
  <c r="I35" i="20"/>
  <c r="H51" i="20"/>
  <c r="I51" i="20"/>
  <c r="H59" i="20"/>
  <c r="I59" i="20"/>
  <c r="H75" i="20"/>
  <c r="I75" i="20"/>
  <c r="H83" i="20"/>
  <c r="I83" i="20"/>
  <c r="H99" i="20"/>
  <c r="I99" i="20"/>
  <c r="H115" i="20"/>
  <c r="I115" i="20"/>
  <c r="H123" i="20"/>
  <c r="I123" i="20"/>
  <c r="H131" i="20"/>
  <c r="I131" i="20"/>
  <c r="H147" i="20"/>
  <c r="I147" i="20"/>
  <c r="H155" i="20"/>
  <c r="I155" i="20"/>
  <c r="H163" i="20"/>
  <c r="I163" i="20"/>
  <c r="H187" i="20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F36" i="20"/>
  <c r="I36" i="20"/>
  <c r="H36" i="20"/>
  <c r="F44" i="20"/>
  <c r="I44" i="20"/>
  <c r="H44" i="20"/>
  <c r="F60" i="20"/>
  <c r="I60" i="20"/>
  <c r="H60" i="20"/>
  <c r="F68" i="20"/>
  <c r="I68" i="20"/>
  <c r="H68" i="20"/>
  <c r="F76" i="20"/>
  <c r="I76" i="20"/>
  <c r="H76" i="20"/>
  <c r="J76" i="20" s="1"/>
  <c r="F84" i="20"/>
  <c r="I84" i="20"/>
  <c r="H84" i="20"/>
  <c r="F92" i="20"/>
  <c r="I92" i="20"/>
  <c r="H92" i="20"/>
  <c r="F100" i="20"/>
  <c r="I100" i="20"/>
  <c r="H100" i="20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F148" i="20"/>
  <c r="I148" i="20"/>
  <c r="H148" i="20"/>
  <c r="J148" i="20" s="1"/>
  <c r="F156" i="20"/>
  <c r="I156" i="20"/>
  <c r="H156" i="20"/>
  <c r="F164" i="20"/>
  <c r="I164" i="20"/>
  <c r="H164" i="20"/>
  <c r="F180" i="20"/>
  <c r="I180" i="20"/>
  <c r="H180" i="20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I149" i="20"/>
  <c r="F157" i="20"/>
  <c r="I157" i="20"/>
  <c r="H157" i="20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F197" i="20"/>
  <c r="H197" i="20"/>
  <c r="I197" i="20"/>
  <c r="F205" i="20"/>
  <c r="I205" i="20"/>
  <c r="H205" i="20"/>
  <c r="F213" i="20"/>
  <c r="H213" i="20"/>
  <c r="I213" i="20"/>
  <c r="F221" i="20"/>
  <c r="I221" i="20"/>
  <c r="H221" i="20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I261" i="20"/>
  <c r="F269" i="20"/>
  <c r="I269" i="20"/>
  <c r="H269" i="20"/>
  <c r="F277" i="20"/>
  <c r="H277" i="20"/>
  <c r="I277" i="20"/>
  <c r="F285" i="20"/>
  <c r="H285" i="20"/>
  <c r="I285" i="20"/>
  <c r="F293" i="20"/>
  <c r="H293" i="20"/>
  <c r="I293" i="20"/>
  <c r="F301" i="20"/>
  <c r="H301" i="20"/>
  <c r="I301" i="20"/>
  <c r="F309" i="20"/>
  <c r="H309" i="20"/>
  <c r="I309" i="20"/>
  <c r="F317" i="20"/>
  <c r="H317" i="20"/>
  <c r="I317" i="20"/>
  <c r="H325" i="20"/>
  <c r="I325" i="20"/>
  <c r="F41" i="20"/>
  <c r="H41" i="20"/>
  <c r="I41" i="20"/>
  <c r="F161" i="20"/>
  <c r="H161" i="20"/>
  <c r="I161" i="20"/>
  <c r="H14" i="20"/>
  <c r="I14" i="20"/>
  <c r="H38" i="20"/>
  <c r="I38" i="20"/>
  <c r="H46" i="20"/>
  <c r="J46" i="20" s="1"/>
  <c r="I46" i="20"/>
  <c r="H54" i="20"/>
  <c r="I54" i="20"/>
  <c r="H62" i="20"/>
  <c r="I62" i="20"/>
  <c r="H70" i="20"/>
  <c r="I70" i="20"/>
  <c r="H78" i="20"/>
  <c r="J78" i="20" s="1"/>
  <c r="I78" i="20"/>
  <c r="H86" i="20"/>
  <c r="I86" i="20"/>
  <c r="H94" i="20"/>
  <c r="I94" i="20"/>
  <c r="H102" i="20"/>
  <c r="I102" i="20"/>
  <c r="H110" i="20"/>
  <c r="J110" i="20" s="1"/>
  <c r="I110" i="20"/>
  <c r="H118" i="20"/>
  <c r="I118" i="20"/>
  <c r="H126" i="20"/>
  <c r="I126" i="20"/>
  <c r="H134" i="20"/>
  <c r="I134" i="20"/>
  <c r="I142" i="20"/>
  <c r="H142" i="20"/>
  <c r="I150" i="20"/>
  <c r="H150" i="20"/>
  <c r="I158" i="20"/>
  <c r="H158" i="20"/>
  <c r="I166" i="20"/>
  <c r="H166" i="20"/>
  <c r="I174" i="20"/>
  <c r="H174" i="20"/>
  <c r="I182" i="20"/>
  <c r="H182" i="20"/>
  <c r="I190" i="20"/>
  <c r="H190" i="20"/>
  <c r="I198" i="20"/>
  <c r="H198" i="20"/>
  <c r="I206" i="20"/>
  <c r="H206" i="20"/>
  <c r="I214" i="20"/>
  <c r="H214" i="20"/>
  <c r="I222" i="20"/>
  <c r="H222" i="20"/>
  <c r="I230" i="20"/>
  <c r="H230" i="20"/>
  <c r="I238" i="20"/>
  <c r="H238" i="20"/>
  <c r="I246" i="20"/>
  <c r="H246" i="20"/>
  <c r="I254" i="20"/>
  <c r="H254" i="20"/>
  <c r="I262" i="20"/>
  <c r="H262" i="20"/>
  <c r="I270" i="20"/>
  <c r="H270" i="20"/>
  <c r="I278" i="20"/>
  <c r="H278" i="20"/>
  <c r="H286" i="20"/>
  <c r="I286" i="20"/>
  <c r="H294" i="20"/>
  <c r="I294" i="20"/>
  <c r="H302" i="20"/>
  <c r="J302" i="20" s="1"/>
  <c r="I302" i="20"/>
  <c r="H310" i="20"/>
  <c r="I310" i="20"/>
  <c r="F318" i="20"/>
  <c r="H318" i="20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C25" i="20"/>
  <c r="E25" i="20"/>
  <c r="C33" i="20"/>
  <c r="E33" i="20"/>
  <c r="G33" i="20" s="1"/>
  <c r="C41" i="20"/>
  <c r="E41" i="20"/>
  <c r="G41" i="20" s="1"/>
  <c r="C49" i="20"/>
  <c r="E49" i="20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C14" i="20"/>
  <c r="O22" i="20"/>
  <c r="C22" i="20"/>
  <c r="O30" i="20"/>
  <c r="C30" i="20"/>
  <c r="O38" i="20"/>
  <c r="C38" i="20"/>
  <c r="O46" i="20"/>
  <c r="C46" i="20"/>
  <c r="O54" i="20"/>
  <c r="C54" i="20"/>
  <c r="O62" i="20"/>
  <c r="C62" i="20"/>
  <c r="O70" i="20"/>
  <c r="C70" i="20"/>
  <c r="O78" i="20"/>
  <c r="C78" i="20"/>
  <c r="O86" i="20"/>
  <c r="C86" i="20"/>
  <c r="O94" i="20"/>
  <c r="C94" i="20"/>
  <c r="O102" i="20"/>
  <c r="C102" i="20"/>
  <c r="O110" i="20"/>
  <c r="C110" i="20"/>
  <c r="O118" i="20"/>
  <c r="C118" i="20"/>
  <c r="O126" i="20"/>
  <c r="C126" i="20"/>
  <c r="O134" i="20"/>
  <c r="C134" i="20"/>
  <c r="O142" i="20"/>
  <c r="C142" i="20"/>
  <c r="O150" i="20"/>
  <c r="C150" i="20"/>
  <c r="O158" i="20"/>
  <c r="C158" i="20"/>
  <c r="O166" i="20"/>
  <c r="C166" i="20"/>
  <c r="O174" i="20"/>
  <c r="C174" i="20"/>
  <c r="O182" i="20"/>
  <c r="C182" i="20"/>
  <c r="O190" i="20"/>
  <c r="C190" i="20"/>
  <c r="O198" i="20"/>
  <c r="C198" i="20"/>
  <c r="O206" i="20"/>
  <c r="C206" i="20"/>
  <c r="O214" i="20"/>
  <c r="C214" i="20"/>
  <c r="O222" i="20"/>
  <c r="C222" i="20"/>
  <c r="O230" i="20"/>
  <c r="C230" i="20"/>
  <c r="O238" i="20"/>
  <c r="C238" i="20"/>
  <c r="O246" i="20"/>
  <c r="C246" i="20"/>
  <c r="O254" i="20"/>
  <c r="C254" i="20"/>
  <c r="O262" i="20"/>
  <c r="C262" i="20"/>
  <c r="O270" i="20"/>
  <c r="C270" i="20"/>
  <c r="O278" i="20"/>
  <c r="C278" i="20"/>
  <c r="O286" i="20"/>
  <c r="C286" i="20"/>
  <c r="O294" i="20"/>
  <c r="C294" i="20"/>
  <c r="O302" i="20"/>
  <c r="C302" i="20"/>
  <c r="O310" i="20"/>
  <c r="C310" i="20"/>
  <c r="N326" i="20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C8" i="20"/>
  <c r="O18" i="20"/>
  <c r="C18" i="20"/>
  <c r="O58" i="20"/>
  <c r="C58" i="20"/>
  <c r="O82" i="20"/>
  <c r="C82" i="20"/>
  <c r="O114" i="20"/>
  <c r="C114" i="20"/>
  <c r="O154" i="20"/>
  <c r="C154" i="20"/>
  <c r="P186" i="20"/>
  <c r="C186" i="20"/>
  <c r="O210" i="20"/>
  <c r="C210" i="20"/>
  <c r="O242" i="20"/>
  <c r="C242" i="20"/>
  <c r="O250" i="20"/>
  <c r="C250" i="20"/>
  <c r="O282" i="20"/>
  <c r="C282" i="20"/>
  <c r="O306" i="20"/>
  <c r="C306" i="20"/>
  <c r="O314" i="20"/>
  <c r="C314" i="20"/>
  <c r="P111" i="20"/>
  <c r="C111" i="20"/>
  <c r="O26" i="20"/>
  <c r="C26" i="20"/>
  <c r="O50" i="20"/>
  <c r="C50" i="20"/>
  <c r="O90" i="20"/>
  <c r="C90" i="20"/>
  <c r="O122" i="20"/>
  <c r="C122" i="20"/>
  <c r="O146" i="20"/>
  <c r="C146" i="20"/>
  <c r="O178" i="20"/>
  <c r="C178" i="20"/>
  <c r="O218" i="20"/>
  <c r="C218" i="20"/>
  <c r="O274" i="20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C315" i="20"/>
  <c r="O323" i="20"/>
  <c r="C323" i="20"/>
  <c r="P331" i="20"/>
  <c r="C331" i="20"/>
  <c r="N327" i="20"/>
  <c r="C327" i="20"/>
  <c r="O324" i="20"/>
  <c r="C324" i="20"/>
  <c r="O332" i="20"/>
  <c r="C332" i="20"/>
  <c r="P283" i="20"/>
  <c r="O283" i="20"/>
  <c r="O251" i="20"/>
  <c r="O219" i="20"/>
  <c r="P315" i="20"/>
  <c r="O187" i="20"/>
  <c r="P307" i="20"/>
  <c r="O307" i="20"/>
  <c r="O9" i="20"/>
  <c r="P319" i="20"/>
  <c r="O327" i="20"/>
  <c r="L21" i="20"/>
  <c r="O21" i="20"/>
  <c r="P21" i="20"/>
  <c r="L45" i="20"/>
  <c r="O45" i="20"/>
  <c r="P45" i="20"/>
  <c r="L69" i="20"/>
  <c r="O69" i="20"/>
  <c r="P69" i="20"/>
  <c r="L93" i="20"/>
  <c r="O93" i="20"/>
  <c r="P93" i="20"/>
  <c r="L117" i="20"/>
  <c r="O117" i="20"/>
  <c r="P117" i="20"/>
  <c r="L141" i="20"/>
  <c r="O141" i="20"/>
  <c r="P141" i="20"/>
  <c r="L157" i="20"/>
  <c r="O157" i="20"/>
  <c r="P157" i="20"/>
  <c r="L181" i="20"/>
  <c r="O181" i="20"/>
  <c r="P181" i="20"/>
  <c r="L205" i="20"/>
  <c r="O205" i="20"/>
  <c r="P205" i="20"/>
  <c r="L213" i="20"/>
  <c r="O213" i="20"/>
  <c r="P213" i="20"/>
  <c r="L237" i="20"/>
  <c r="O237" i="20"/>
  <c r="P237" i="20"/>
  <c r="L245" i="20"/>
  <c r="O245" i="20"/>
  <c r="P245" i="20"/>
  <c r="L253" i="20"/>
  <c r="O253" i="20"/>
  <c r="P253" i="20"/>
  <c r="L261" i="20"/>
  <c r="O261" i="20"/>
  <c r="P261" i="20"/>
  <c r="L269" i="20"/>
  <c r="O269" i="20"/>
  <c r="P269" i="20"/>
  <c r="L277" i="20"/>
  <c r="O277" i="20"/>
  <c r="P277" i="20"/>
  <c r="L285" i="20"/>
  <c r="O285" i="20"/>
  <c r="P285" i="20"/>
  <c r="L293" i="20"/>
  <c r="O293" i="20"/>
  <c r="P293" i="20"/>
  <c r="L301" i="20"/>
  <c r="O301" i="20"/>
  <c r="P301" i="20"/>
  <c r="L309" i="20"/>
  <c r="O309" i="20"/>
  <c r="P309" i="20"/>
  <c r="L317" i="20"/>
  <c r="O317" i="20"/>
  <c r="P317" i="20"/>
  <c r="N318" i="20"/>
  <c r="O318" i="20"/>
  <c r="O326" i="20"/>
  <c r="T326" i="20" s="1"/>
  <c r="O186" i="20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P29" i="20"/>
  <c r="L53" i="20"/>
  <c r="O53" i="20"/>
  <c r="P53" i="20"/>
  <c r="L77" i="20"/>
  <c r="O77" i="20"/>
  <c r="P77" i="20"/>
  <c r="L109" i="20"/>
  <c r="O109" i="20"/>
  <c r="P109" i="20"/>
  <c r="L133" i="20"/>
  <c r="O133" i="20"/>
  <c r="P133" i="20"/>
  <c r="L165" i="20"/>
  <c r="O165" i="20"/>
  <c r="P165" i="20"/>
  <c r="L189" i="20"/>
  <c r="O189" i="20"/>
  <c r="P189" i="20"/>
  <c r="L229" i="20"/>
  <c r="O229" i="20"/>
  <c r="P229" i="20"/>
  <c r="L15" i="20"/>
  <c r="O15" i="20"/>
  <c r="L31" i="20"/>
  <c r="O31" i="20"/>
  <c r="L47" i="20"/>
  <c r="O47" i="20"/>
  <c r="L71" i="20"/>
  <c r="O71" i="20"/>
  <c r="L87" i="20"/>
  <c r="O87" i="20"/>
  <c r="L103" i="20"/>
  <c r="O103" i="20"/>
  <c r="L119" i="20"/>
  <c r="O119" i="20"/>
  <c r="L143" i="20"/>
  <c r="O143" i="20"/>
  <c r="L159" i="20"/>
  <c r="O159" i="20"/>
  <c r="L175" i="20"/>
  <c r="O175" i="20"/>
  <c r="L191" i="20"/>
  <c r="O191" i="20"/>
  <c r="L207" i="20"/>
  <c r="O207" i="20"/>
  <c r="L223" i="20"/>
  <c r="O223" i="20"/>
  <c r="L247" i="20"/>
  <c r="O247" i="20"/>
  <c r="O243" i="20"/>
  <c r="O179" i="20"/>
  <c r="O115" i="20"/>
  <c r="O51" i="20"/>
  <c r="P247" i="20"/>
  <c r="P119" i="20"/>
  <c r="N8" i="20"/>
  <c r="P8" i="20"/>
  <c r="N16" i="20"/>
  <c r="P16" i="20"/>
  <c r="O16" i="20"/>
  <c r="N24" i="20"/>
  <c r="P24" i="20"/>
  <c r="O24" i="20"/>
  <c r="N32" i="20"/>
  <c r="P32" i="20"/>
  <c r="O32" i="20"/>
  <c r="N40" i="20"/>
  <c r="P40" i="20"/>
  <c r="O40" i="20"/>
  <c r="N48" i="20"/>
  <c r="P48" i="20"/>
  <c r="O48" i="20"/>
  <c r="N56" i="20"/>
  <c r="P56" i="20"/>
  <c r="O56" i="20"/>
  <c r="N64" i="20"/>
  <c r="P64" i="20"/>
  <c r="O64" i="20"/>
  <c r="N72" i="20"/>
  <c r="P72" i="20"/>
  <c r="O72" i="20"/>
  <c r="N80" i="20"/>
  <c r="P80" i="20"/>
  <c r="O80" i="20"/>
  <c r="N88" i="20"/>
  <c r="P88" i="20"/>
  <c r="O88" i="20"/>
  <c r="N96" i="20"/>
  <c r="P96" i="20"/>
  <c r="O96" i="20"/>
  <c r="N104" i="20"/>
  <c r="P104" i="20"/>
  <c r="O104" i="20"/>
  <c r="N112" i="20"/>
  <c r="P112" i="20"/>
  <c r="O112" i="20"/>
  <c r="N120" i="20"/>
  <c r="P120" i="20"/>
  <c r="O120" i="20"/>
  <c r="N128" i="20"/>
  <c r="P128" i="20"/>
  <c r="O128" i="20"/>
  <c r="N136" i="20"/>
  <c r="P136" i="20"/>
  <c r="O136" i="20"/>
  <c r="N144" i="20"/>
  <c r="P144" i="20"/>
  <c r="O144" i="20"/>
  <c r="N152" i="20"/>
  <c r="P152" i="20"/>
  <c r="O152" i="20"/>
  <c r="N160" i="20"/>
  <c r="P160" i="20"/>
  <c r="O160" i="20"/>
  <c r="N168" i="20"/>
  <c r="P168" i="20"/>
  <c r="O168" i="20"/>
  <c r="N176" i="20"/>
  <c r="P176" i="20"/>
  <c r="O176" i="20"/>
  <c r="N184" i="20"/>
  <c r="P184" i="20"/>
  <c r="O184" i="20"/>
  <c r="N192" i="20"/>
  <c r="P192" i="20"/>
  <c r="O192" i="20"/>
  <c r="N200" i="20"/>
  <c r="P200" i="20"/>
  <c r="O200" i="20"/>
  <c r="N208" i="20"/>
  <c r="P208" i="20"/>
  <c r="O208" i="20"/>
  <c r="N216" i="20"/>
  <c r="P216" i="20"/>
  <c r="O216" i="20"/>
  <c r="N224" i="20"/>
  <c r="P224" i="20"/>
  <c r="O224" i="20"/>
  <c r="N232" i="20"/>
  <c r="P232" i="20"/>
  <c r="O232" i="20"/>
  <c r="N240" i="20"/>
  <c r="P240" i="20"/>
  <c r="O240" i="20"/>
  <c r="N248" i="20"/>
  <c r="P248" i="20"/>
  <c r="O248" i="20"/>
  <c r="N256" i="20"/>
  <c r="P256" i="20"/>
  <c r="O256" i="20"/>
  <c r="N264" i="20"/>
  <c r="P264" i="20"/>
  <c r="O264" i="20"/>
  <c r="N272" i="20"/>
  <c r="P272" i="20"/>
  <c r="O272" i="20"/>
  <c r="N280" i="20"/>
  <c r="P280" i="20"/>
  <c r="O280" i="20"/>
  <c r="N288" i="20"/>
  <c r="P288" i="20"/>
  <c r="O288" i="20"/>
  <c r="N296" i="20"/>
  <c r="P296" i="20"/>
  <c r="O296" i="20"/>
  <c r="N304" i="20"/>
  <c r="P304" i="20"/>
  <c r="O304" i="20"/>
  <c r="N312" i="20"/>
  <c r="P312" i="20"/>
  <c r="O312" i="20"/>
  <c r="N320" i="20"/>
  <c r="P320" i="20"/>
  <c r="O320" i="20"/>
  <c r="N328" i="20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P13" i="20"/>
  <c r="L37" i="20"/>
  <c r="O37" i="20"/>
  <c r="P37" i="20"/>
  <c r="L61" i="20"/>
  <c r="O61" i="20"/>
  <c r="P61" i="20"/>
  <c r="L85" i="20"/>
  <c r="O85" i="20"/>
  <c r="P85" i="20"/>
  <c r="L101" i="20"/>
  <c r="O101" i="20"/>
  <c r="P101" i="20"/>
  <c r="L125" i="20"/>
  <c r="O125" i="20"/>
  <c r="P125" i="20"/>
  <c r="L149" i="20"/>
  <c r="O149" i="20"/>
  <c r="P149" i="20"/>
  <c r="L173" i="20"/>
  <c r="O173" i="20"/>
  <c r="P173" i="20"/>
  <c r="L197" i="20"/>
  <c r="O197" i="20"/>
  <c r="P197" i="20"/>
  <c r="L221" i="20"/>
  <c r="O221" i="20"/>
  <c r="P221" i="20"/>
  <c r="N325" i="20"/>
  <c r="P325" i="20"/>
  <c r="L55" i="20"/>
  <c r="O55" i="20"/>
  <c r="L135" i="20"/>
  <c r="O135" i="20"/>
  <c r="O275" i="20"/>
  <c r="P17" i="20"/>
  <c r="O17" i="20"/>
  <c r="P25" i="20"/>
  <c r="O25" i="20"/>
  <c r="P33" i="20"/>
  <c r="O33" i="20"/>
  <c r="P41" i="20"/>
  <c r="O41" i="20"/>
  <c r="P49" i="20"/>
  <c r="O49" i="20"/>
  <c r="P57" i="20"/>
  <c r="O57" i="20"/>
  <c r="N65" i="20"/>
  <c r="P65" i="20"/>
  <c r="O65" i="20"/>
  <c r="N73" i="20"/>
  <c r="P73" i="20"/>
  <c r="O73" i="20"/>
  <c r="N81" i="20"/>
  <c r="P81" i="20"/>
  <c r="O81" i="20"/>
  <c r="N89" i="20"/>
  <c r="P89" i="20"/>
  <c r="O89" i="20"/>
  <c r="N97" i="20"/>
  <c r="P97" i="20"/>
  <c r="O97" i="20"/>
  <c r="N105" i="20"/>
  <c r="P105" i="20"/>
  <c r="O105" i="20"/>
  <c r="N113" i="20"/>
  <c r="P113" i="20"/>
  <c r="O113" i="20"/>
  <c r="N121" i="20"/>
  <c r="P121" i="20"/>
  <c r="O121" i="20"/>
  <c r="N129" i="20"/>
  <c r="P129" i="20"/>
  <c r="O129" i="20"/>
  <c r="N137" i="20"/>
  <c r="P137" i="20"/>
  <c r="O137" i="20"/>
  <c r="N145" i="20"/>
  <c r="P145" i="20"/>
  <c r="O145" i="20"/>
  <c r="N153" i="20"/>
  <c r="P153" i="20"/>
  <c r="O153" i="20"/>
  <c r="N161" i="20"/>
  <c r="P161" i="20"/>
  <c r="O161" i="20"/>
  <c r="N169" i="20"/>
  <c r="P169" i="20"/>
  <c r="O169" i="20"/>
  <c r="N177" i="20"/>
  <c r="P177" i="20"/>
  <c r="O177" i="20"/>
  <c r="N185" i="20"/>
  <c r="P185" i="20"/>
  <c r="O185" i="20"/>
  <c r="N193" i="20"/>
  <c r="P193" i="20"/>
  <c r="O193" i="20"/>
  <c r="N201" i="20"/>
  <c r="P201" i="20"/>
  <c r="O201" i="20"/>
  <c r="N209" i="20"/>
  <c r="P209" i="20"/>
  <c r="O209" i="20"/>
  <c r="N217" i="20"/>
  <c r="P217" i="20"/>
  <c r="O217" i="20"/>
  <c r="N225" i="20"/>
  <c r="P225" i="20"/>
  <c r="O225" i="20"/>
  <c r="N233" i="20"/>
  <c r="P233" i="20"/>
  <c r="O233" i="20"/>
  <c r="N241" i="20"/>
  <c r="P241" i="20"/>
  <c r="O241" i="20"/>
  <c r="N249" i="20"/>
  <c r="P249" i="20"/>
  <c r="O249" i="20"/>
  <c r="N257" i="20"/>
  <c r="P257" i="20"/>
  <c r="O257" i="20"/>
  <c r="N265" i="20"/>
  <c r="P265" i="20"/>
  <c r="O265" i="20"/>
  <c r="N273" i="20"/>
  <c r="P273" i="20"/>
  <c r="O273" i="20"/>
  <c r="N281" i="20"/>
  <c r="P281" i="20"/>
  <c r="O281" i="20"/>
  <c r="N289" i="20"/>
  <c r="P289" i="20"/>
  <c r="O289" i="20"/>
  <c r="N297" i="20"/>
  <c r="P297" i="20"/>
  <c r="O297" i="20"/>
  <c r="N305" i="20"/>
  <c r="P305" i="20"/>
  <c r="O305" i="20"/>
  <c r="N313" i="20"/>
  <c r="P313" i="20"/>
  <c r="O313" i="20"/>
  <c r="N321" i="20"/>
  <c r="P321" i="20"/>
  <c r="O321" i="20"/>
  <c r="N329" i="20"/>
  <c r="P329" i="20"/>
  <c r="O331" i="20"/>
  <c r="O299" i="20"/>
  <c r="O267" i="20"/>
  <c r="O235" i="20"/>
  <c r="O203" i="20"/>
  <c r="O171" i="20"/>
  <c r="O139" i="20"/>
  <c r="O107" i="20"/>
  <c r="O75" i="20"/>
  <c r="O43" i="20"/>
  <c r="O11" i="20"/>
  <c r="P207" i="20"/>
  <c r="P175" i="20"/>
  <c r="P143" i="20"/>
  <c r="P47" i="20"/>
  <c r="P15" i="20"/>
  <c r="O155" i="20"/>
  <c r="O123" i="20"/>
  <c r="O91" i="20"/>
  <c r="O59" i="20"/>
  <c r="O27" i="20"/>
  <c r="L23" i="20"/>
  <c r="O23" i="20"/>
  <c r="L39" i="20"/>
  <c r="O39" i="20"/>
  <c r="L63" i="20"/>
  <c r="O63" i="20"/>
  <c r="L79" i="20"/>
  <c r="O79" i="20"/>
  <c r="L95" i="20"/>
  <c r="O95" i="20"/>
  <c r="L111" i="20"/>
  <c r="O111" i="20"/>
  <c r="L127" i="20"/>
  <c r="O127" i="20"/>
  <c r="L151" i="20"/>
  <c r="O151" i="20"/>
  <c r="L167" i="20"/>
  <c r="O167" i="20"/>
  <c r="L183" i="20"/>
  <c r="O183" i="20"/>
  <c r="L199" i="20"/>
  <c r="O199" i="20"/>
  <c r="L215" i="20"/>
  <c r="O215" i="20"/>
  <c r="L231" i="20"/>
  <c r="O231" i="20"/>
  <c r="L239" i="20"/>
  <c r="O239" i="20"/>
  <c r="L255" i="20"/>
  <c r="O255" i="20"/>
  <c r="L263" i="20"/>
  <c r="O263" i="20"/>
  <c r="L271" i="20"/>
  <c r="O271" i="20"/>
  <c r="L279" i="20"/>
  <c r="O279" i="20"/>
  <c r="L287" i="20"/>
  <c r="O287" i="20"/>
  <c r="L295" i="20"/>
  <c r="O295" i="20"/>
  <c r="L303" i="20"/>
  <c r="O303" i="20"/>
  <c r="L311" i="20"/>
  <c r="O311" i="20"/>
  <c r="O211" i="20"/>
  <c r="O147" i="20"/>
  <c r="O83" i="20"/>
  <c r="O19" i="20"/>
  <c r="P87" i="20"/>
  <c r="N10" i="20"/>
  <c r="P10" i="20"/>
  <c r="N18" i="20"/>
  <c r="P18" i="20"/>
  <c r="N26" i="20"/>
  <c r="P26" i="20"/>
  <c r="N34" i="20"/>
  <c r="P34" i="20"/>
  <c r="N42" i="20"/>
  <c r="P42" i="20"/>
  <c r="N50" i="20"/>
  <c r="P50" i="20"/>
  <c r="N58" i="20"/>
  <c r="P58" i="20"/>
  <c r="N66" i="20"/>
  <c r="P66" i="20"/>
  <c r="N74" i="20"/>
  <c r="P74" i="20"/>
  <c r="N82" i="20"/>
  <c r="P82" i="20"/>
  <c r="N90" i="20"/>
  <c r="P90" i="20"/>
  <c r="N98" i="20"/>
  <c r="P98" i="20"/>
  <c r="N106" i="20"/>
  <c r="P106" i="20"/>
  <c r="N114" i="20"/>
  <c r="P114" i="20"/>
  <c r="N122" i="20"/>
  <c r="P122" i="20"/>
  <c r="N130" i="20"/>
  <c r="P130" i="20"/>
  <c r="N138" i="20"/>
  <c r="P138" i="20"/>
  <c r="N146" i="20"/>
  <c r="P146" i="20"/>
  <c r="N154" i="20"/>
  <c r="P154" i="20"/>
  <c r="N162" i="20"/>
  <c r="P162" i="20"/>
  <c r="N170" i="20"/>
  <c r="P170" i="20"/>
  <c r="N178" i="20"/>
  <c r="P178" i="20"/>
  <c r="N194" i="20"/>
  <c r="P194" i="20"/>
  <c r="N202" i="20"/>
  <c r="P202" i="20"/>
  <c r="N210" i="20"/>
  <c r="P210" i="20"/>
  <c r="N218" i="20"/>
  <c r="P218" i="20"/>
  <c r="N226" i="20"/>
  <c r="P226" i="20"/>
  <c r="N234" i="20"/>
  <c r="P234" i="20"/>
  <c r="N242" i="20"/>
  <c r="P242" i="20"/>
  <c r="N250" i="20"/>
  <c r="P250" i="20"/>
  <c r="N258" i="20"/>
  <c r="P258" i="20"/>
  <c r="N266" i="20"/>
  <c r="P266" i="20"/>
  <c r="N274" i="20"/>
  <c r="P274" i="20"/>
  <c r="N282" i="20"/>
  <c r="P282" i="20"/>
  <c r="N290" i="20"/>
  <c r="P290" i="20"/>
  <c r="N298" i="20"/>
  <c r="P298" i="20"/>
  <c r="N306" i="20"/>
  <c r="P306" i="20"/>
  <c r="N314" i="20"/>
  <c r="P314" i="20"/>
  <c r="N322" i="20"/>
  <c r="P322" i="20"/>
  <c r="N330" i="20"/>
  <c r="P330" i="20"/>
  <c r="O330" i="20"/>
  <c r="O322" i="20"/>
  <c r="O298" i="20"/>
  <c r="O266" i="20"/>
  <c r="O234" i="20"/>
  <c r="O202" i="20"/>
  <c r="O170" i="20"/>
  <c r="O138" i="20"/>
  <c r="O106" i="20"/>
  <c r="O74" i="20"/>
  <c r="O42" i="20"/>
  <c r="O10" i="20"/>
  <c r="P302" i="20"/>
  <c r="P270" i="20"/>
  <c r="P238" i="20"/>
  <c r="P206" i="20"/>
  <c r="P174" i="20"/>
  <c r="P142" i="20"/>
  <c r="P110" i="20"/>
  <c r="P78" i="20"/>
  <c r="P46" i="20"/>
  <c r="P14" i="20"/>
  <c r="O329" i="20"/>
  <c r="O319" i="20"/>
  <c r="O291" i="20"/>
  <c r="O259" i="20"/>
  <c r="O227" i="20"/>
  <c r="O195" i="20"/>
  <c r="O163" i="20"/>
  <c r="O131" i="20"/>
  <c r="O99" i="20"/>
  <c r="O67" i="20"/>
  <c r="O35" i="20"/>
  <c r="P327" i="20"/>
  <c r="P295" i="20"/>
  <c r="P263" i="20"/>
  <c r="P231" i="20"/>
  <c r="P199" i="20"/>
  <c r="P167" i="20"/>
  <c r="P135" i="20"/>
  <c r="P103" i="20"/>
  <c r="P71" i="20"/>
  <c r="P39" i="20"/>
  <c r="N323" i="20"/>
  <c r="P323" i="20"/>
  <c r="O12" i="20"/>
  <c r="P12" i="20"/>
  <c r="O20" i="20"/>
  <c r="P20" i="20"/>
  <c r="O28" i="20"/>
  <c r="P28" i="20"/>
  <c r="O36" i="20"/>
  <c r="P36" i="20"/>
  <c r="O44" i="20"/>
  <c r="P44" i="20"/>
  <c r="O52" i="20"/>
  <c r="P52" i="20"/>
  <c r="O60" i="20"/>
  <c r="P60" i="20"/>
  <c r="O68" i="20"/>
  <c r="P68" i="20"/>
  <c r="O76" i="20"/>
  <c r="P76" i="20"/>
  <c r="O84" i="20"/>
  <c r="P84" i="20"/>
  <c r="O92" i="20"/>
  <c r="P92" i="20"/>
  <c r="O100" i="20"/>
  <c r="P100" i="20"/>
  <c r="O108" i="20"/>
  <c r="P108" i="20"/>
  <c r="O116" i="20"/>
  <c r="P116" i="20"/>
  <c r="O124" i="20"/>
  <c r="P124" i="20"/>
  <c r="O132" i="20"/>
  <c r="P132" i="20"/>
  <c r="O140" i="20"/>
  <c r="P140" i="20"/>
  <c r="O148" i="20"/>
  <c r="P148" i="20"/>
  <c r="O156" i="20"/>
  <c r="P156" i="20"/>
  <c r="O164" i="20"/>
  <c r="P164" i="20"/>
  <c r="O172" i="20"/>
  <c r="P172" i="20"/>
  <c r="O180" i="20"/>
  <c r="P180" i="20"/>
  <c r="O188" i="20"/>
  <c r="P188" i="20"/>
  <c r="O196" i="20"/>
  <c r="P196" i="20"/>
  <c r="O204" i="20"/>
  <c r="P204" i="20"/>
  <c r="O212" i="20"/>
  <c r="P212" i="20"/>
  <c r="O220" i="20"/>
  <c r="P220" i="20"/>
  <c r="O228" i="20"/>
  <c r="P228" i="20"/>
  <c r="O236" i="20"/>
  <c r="P236" i="20"/>
  <c r="O244" i="20"/>
  <c r="P244" i="20"/>
  <c r="O252" i="20"/>
  <c r="P252" i="20"/>
  <c r="O260" i="20"/>
  <c r="P260" i="20"/>
  <c r="O268" i="20"/>
  <c r="P268" i="20"/>
  <c r="O276" i="20"/>
  <c r="P276" i="20"/>
  <c r="O284" i="20"/>
  <c r="P284" i="20"/>
  <c r="O292" i="20"/>
  <c r="P292" i="20"/>
  <c r="O300" i="20"/>
  <c r="P300" i="20"/>
  <c r="N308" i="20"/>
  <c r="O308" i="20"/>
  <c r="P308" i="20"/>
  <c r="N316" i="20"/>
  <c r="P316" i="20"/>
  <c r="N324" i="20"/>
  <c r="T324" i="20" s="1"/>
  <c r="P324" i="20"/>
  <c r="N332" i="20"/>
  <c r="P332" i="20"/>
  <c r="O328" i="20"/>
  <c r="O316" i="20"/>
  <c r="O290" i="20"/>
  <c r="O258" i="20"/>
  <c r="O226" i="20"/>
  <c r="O194" i="20"/>
  <c r="O162" i="20"/>
  <c r="O130" i="20"/>
  <c r="O98" i="20"/>
  <c r="O66" i="20"/>
  <c r="O34" i="20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L186" i="20"/>
  <c r="N331" i="20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L313" i="20"/>
  <c r="L232" i="20"/>
  <c r="L104" i="20"/>
  <c r="N285" i="20"/>
  <c r="N223" i="20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N221" i="20"/>
  <c r="N189" i="20"/>
  <c r="N157" i="20"/>
  <c r="N125" i="20"/>
  <c r="N93" i="20"/>
  <c r="N61" i="20"/>
  <c r="N29" i="20"/>
  <c r="N287" i="20"/>
  <c r="N31" i="20"/>
  <c r="N17" i="20"/>
  <c r="L17" i="20"/>
  <c r="N33" i="20"/>
  <c r="L33" i="20"/>
  <c r="N57" i="20"/>
  <c r="L57" i="20"/>
  <c r="L289" i="20"/>
  <c r="L161" i="20"/>
  <c r="N247" i="20"/>
  <c r="N215" i="20"/>
  <c r="N183" i="20"/>
  <c r="N151" i="20"/>
  <c r="N119" i="20"/>
  <c r="N87" i="20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N277" i="20"/>
  <c r="N245" i="20"/>
  <c r="N213" i="20"/>
  <c r="N181" i="20"/>
  <c r="N149" i="20"/>
  <c r="N117" i="20"/>
  <c r="N85" i="20"/>
  <c r="N53" i="20"/>
  <c r="N21" i="20"/>
  <c r="L225" i="20"/>
  <c r="L184" i="20"/>
  <c r="N311" i="20"/>
  <c r="N23" i="20"/>
  <c r="L11" i="20"/>
  <c r="N11" i="20"/>
  <c r="L19" i="20"/>
  <c r="N19" i="20"/>
  <c r="L27" i="20"/>
  <c r="N27" i="20"/>
  <c r="L35" i="20"/>
  <c r="N35" i="20"/>
  <c r="L43" i="20"/>
  <c r="N43" i="20"/>
  <c r="L51" i="20"/>
  <c r="N51" i="20"/>
  <c r="L59" i="20"/>
  <c r="N59" i="20"/>
  <c r="L67" i="20"/>
  <c r="N67" i="20"/>
  <c r="L75" i="20"/>
  <c r="N75" i="20"/>
  <c r="L83" i="20"/>
  <c r="N83" i="20"/>
  <c r="L91" i="20"/>
  <c r="N91" i="20"/>
  <c r="L99" i="20"/>
  <c r="N99" i="20"/>
  <c r="L107" i="20"/>
  <c r="N107" i="20"/>
  <c r="L115" i="20"/>
  <c r="N115" i="20"/>
  <c r="L123" i="20"/>
  <c r="N123" i="20"/>
  <c r="L131" i="20"/>
  <c r="N131" i="20"/>
  <c r="L139" i="20"/>
  <c r="N139" i="20"/>
  <c r="L147" i="20"/>
  <c r="N147" i="20"/>
  <c r="L155" i="20"/>
  <c r="N155" i="20"/>
  <c r="L163" i="20"/>
  <c r="N163" i="20"/>
  <c r="L171" i="20"/>
  <c r="N171" i="20"/>
  <c r="L179" i="20"/>
  <c r="N179" i="20"/>
  <c r="L187" i="20"/>
  <c r="N187" i="20"/>
  <c r="L195" i="20"/>
  <c r="N195" i="20"/>
  <c r="L203" i="20"/>
  <c r="N203" i="20"/>
  <c r="L211" i="20"/>
  <c r="N211" i="20"/>
  <c r="L219" i="20"/>
  <c r="N219" i="20"/>
  <c r="L227" i="20"/>
  <c r="N227" i="20"/>
  <c r="L235" i="20"/>
  <c r="N235" i="20"/>
  <c r="L243" i="20"/>
  <c r="N243" i="20"/>
  <c r="L251" i="20"/>
  <c r="N251" i="20"/>
  <c r="L259" i="20"/>
  <c r="N259" i="20"/>
  <c r="L267" i="20"/>
  <c r="N267" i="20"/>
  <c r="L275" i="20"/>
  <c r="N275" i="20"/>
  <c r="L283" i="20"/>
  <c r="N283" i="20"/>
  <c r="L291" i="20"/>
  <c r="N291" i="20"/>
  <c r="L299" i="20"/>
  <c r="N299" i="20"/>
  <c r="L307" i="20"/>
  <c r="N307" i="20"/>
  <c r="L315" i="20"/>
  <c r="N315" i="20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N271" i="20"/>
  <c r="N239" i="20"/>
  <c r="N207" i="20"/>
  <c r="N175" i="20"/>
  <c r="N143" i="20"/>
  <c r="N111" i="20"/>
  <c r="N79" i="20"/>
  <c r="N47" i="20"/>
  <c r="N15" i="20"/>
  <c r="N319" i="20"/>
  <c r="N255" i="20"/>
  <c r="N191" i="20"/>
  <c r="N159" i="20"/>
  <c r="N127" i="20"/>
  <c r="L284" i="20"/>
  <c r="N284" i="20"/>
  <c r="L292" i="20"/>
  <c r="N292" i="20"/>
  <c r="L300" i="20"/>
  <c r="N300" i="20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N269" i="20"/>
  <c r="N237" i="20"/>
  <c r="N205" i="20"/>
  <c r="N173" i="20"/>
  <c r="N141" i="20"/>
  <c r="N109" i="20"/>
  <c r="N77" i="20"/>
  <c r="N45" i="20"/>
  <c r="N13" i="20"/>
  <c r="N95" i="20"/>
  <c r="N9" i="20"/>
  <c r="L9" i="20"/>
  <c r="N25" i="20"/>
  <c r="L25" i="20"/>
  <c r="N41" i="20"/>
  <c r="L41" i="20"/>
  <c r="N49" i="20"/>
  <c r="L49" i="20"/>
  <c r="L120" i="20"/>
  <c r="L97" i="20"/>
  <c r="N279" i="20"/>
  <c r="N55" i="20"/>
  <c r="L12" i="20"/>
  <c r="N12" i="20"/>
  <c r="L20" i="20"/>
  <c r="N20" i="20"/>
  <c r="L28" i="20"/>
  <c r="N28" i="20"/>
  <c r="L36" i="20"/>
  <c r="N36" i="20"/>
  <c r="L44" i="20"/>
  <c r="N44" i="20"/>
  <c r="L52" i="20"/>
  <c r="N52" i="20"/>
  <c r="L60" i="20"/>
  <c r="N60" i="20"/>
  <c r="L68" i="20"/>
  <c r="N68" i="20"/>
  <c r="L76" i="20"/>
  <c r="N76" i="20"/>
  <c r="L84" i="20"/>
  <c r="N84" i="20"/>
  <c r="L92" i="20"/>
  <c r="N92" i="20"/>
  <c r="L100" i="20"/>
  <c r="N100" i="20"/>
  <c r="L108" i="20"/>
  <c r="N108" i="20"/>
  <c r="L116" i="20"/>
  <c r="N116" i="20"/>
  <c r="L124" i="20"/>
  <c r="N124" i="20"/>
  <c r="L132" i="20"/>
  <c r="N132" i="20"/>
  <c r="L140" i="20"/>
  <c r="N140" i="20"/>
  <c r="L148" i="20"/>
  <c r="N148" i="20"/>
  <c r="L156" i="20"/>
  <c r="N156" i="20"/>
  <c r="L164" i="20"/>
  <c r="N164" i="20"/>
  <c r="L172" i="20"/>
  <c r="N172" i="20"/>
  <c r="L180" i="20"/>
  <c r="N180" i="20"/>
  <c r="L188" i="20"/>
  <c r="N188" i="20"/>
  <c r="L196" i="20"/>
  <c r="N196" i="20"/>
  <c r="L204" i="20"/>
  <c r="N204" i="20"/>
  <c r="L212" i="20"/>
  <c r="N212" i="20"/>
  <c r="L220" i="20"/>
  <c r="N220" i="20"/>
  <c r="L236" i="20"/>
  <c r="N236" i="20"/>
  <c r="L268" i="20"/>
  <c r="N268" i="20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N263" i="20"/>
  <c r="N231" i="20"/>
  <c r="N199" i="20"/>
  <c r="N167" i="20"/>
  <c r="N135" i="20"/>
  <c r="N103" i="20"/>
  <c r="N71" i="20"/>
  <c r="N39" i="20"/>
  <c r="N63" i="20"/>
  <c r="L228" i="20"/>
  <c r="N228" i="20"/>
  <c r="L244" i="20"/>
  <c r="N244" i="20"/>
  <c r="L252" i="20"/>
  <c r="N252" i="20"/>
  <c r="L260" i="20"/>
  <c r="N260" i="20"/>
  <c r="L276" i="20"/>
  <c r="N276" i="20"/>
  <c r="L14" i="20"/>
  <c r="N14" i="20"/>
  <c r="L22" i="20"/>
  <c r="N22" i="20"/>
  <c r="L30" i="20"/>
  <c r="N30" i="20"/>
  <c r="L38" i="20"/>
  <c r="N38" i="20"/>
  <c r="L46" i="20"/>
  <c r="N46" i="20"/>
  <c r="L54" i="20"/>
  <c r="N54" i="20"/>
  <c r="L62" i="20"/>
  <c r="N62" i="20"/>
  <c r="L70" i="20"/>
  <c r="N70" i="20"/>
  <c r="L78" i="20"/>
  <c r="N78" i="20"/>
  <c r="L86" i="20"/>
  <c r="N86" i="20"/>
  <c r="L94" i="20"/>
  <c r="N94" i="20"/>
  <c r="L102" i="20"/>
  <c r="N102" i="20"/>
  <c r="L110" i="20"/>
  <c r="N110" i="20"/>
  <c r="L118" i="20"/>
  <c r="N118" i="20"/>
  <c r="L126" i="20"/>
  <c r="N126" i="20"/>
  <c r="L134" i="20"/>
  <c r="N134" i="20"/>
  <c r="L142" i="20"/>
  <c r="N142" i="20"/>
  <c r="L150" i="20"/>
  <c r="N150" i="20"/>
  <c r="L158" i="20"/>
  <c r="N158" i="20"/>
  <c r="L166" i="20"/>
  <c r="N166" i="20"/>
  <c r="L174" i="20"/>
  <c r="N174" i="20"/>
  <c r="L182" i="20"/>
  <c r="N182" i="20"/>
  <c r="L190" i="20"/>
  <c r="N190" i="20"/>
  <c r="L198" i="20"/>
  <c r="N198" i="20"/>
  <c r="L206" i="20"/>
  <c r="N206" i="20"/>
  <c r="L214" i="20"/>
  <c r="N214" i="20"/>
  <c r="L222" i="20"/>
  <c r="N222" i="20"/>
  <c r="L230" i="20"/>
  <c r="N230" i="20"/>
  <c r="L238" i="20"/>
  <c r="N238" i="20"/>
  <c r="L246" i="20"/>
  <c r="N246" i="20"/>
  <c r="L254" i="20"/>
  <c r="N254" i="20"/>
  <c r="L262" i="20"/>
  <c r="N262" i="20"/>
  <c r="L270" i="20"/>
  <c r="N270" i="20"/>
  <c r="L278" i="20"/>
  <c r="N278" i="20"/>
  <c r="L286" i="20"/>
  <c r="N286" i="20"/>
  <c r="L294" i="20"/>
  <c r="N294" i="20"/>
  <c r="L302" i="20"/>
  <c r="N302" i="20"/>
  <c r="L310" i="20"/>
  <c r="N310" i="20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N261" i="20"/>
  <c r="N229" i="20"/>
  <c r="N197" i="20"/>
  <c r="N165" i="20"/>
  <c r="N133" i="20"/>
  <c r="N101" i="20"/>
  <c r="N69" i="20"/>
  <c r="N37" i="20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262" i="20" l="1"/>
  <c r="J230" i="20"/>
  <c r="J198" i="20"/>
  <c r="J166" i="20"/>
  <c r="J221" i="20"/>
  <c r="J157" i="20"/>
  <c r="J140" i="20"/>
  <c r="J68" i="20"/>
  <c r="J268" i="20"/>
  <c r="J204" i="20"/>
  <c r="J296" i="20"/>
  <c r="J128" i="20"/>
  <c r="J64" i="20"/>
  <c r="J271" i="20"/>
  <c r="J167" i="20"/>
  <c r="J318" i="20"/>
  <c r="J261" i="20"/>
  <c r="J197" i="20"/>
  <c r="J187" i="20"/>
  <c r="J131" i="20"/>
  <c r="J83" i="20"/>
  <c r="J35" i="20"/>
  <c r="J82" i="20"/>
  <c r="J249" i="20"/>
  <c r="J81" i="20"/>
  <c r="J308" i="20"/>
  <c r="J107" i="20"/>
  <c r="J305" i="20"/>
  <c r="J283" i="20"/>
  <c r="J313" i="20"/>
  <c r="J266" i="20"/>
  <c r="J242" i="20"/>
  <c r="J218" i="20"/>
  <c r="J90" i="20"/>
  <c r="J289" i="20"/>
  <c r="J33" i="20"/>
  <c r="J272" i="20"/>
  <c r="J144" i="20"/>
  <c r="J80" i="20"/>
  <c r="J16" i="20"/>
  <c r="J263" i="20"/>
  <c r="J239" i="20"/>
  <c r="J135" i="20"/>
  <c r="J111" i="20"/>
  <c r="J30" i="20"/>
  <c r="J89" i="20"/>
  <c r="G292" i="20"/>
  <c r="G228" i="20"/>
  <c r="G97" i="20"/>
  <c r="G39" i="20"/>
  <c r="G20" i="20"/>
  <c r="J286" i="20"/>
  <c r="J14" i="20"/>
  <c r="J325" i="20"/>
  <c r="J301" i="20"/>
  <c r="J290" i="20"/>
  <c r="J329" i="20"/>
  <c r="J278" i="20"/>
  <c r="J246" i="20"/>
  <c r="J214" i="20"/>
  <c r="J182" i="20"/>
  <c r="J150" i="20"/>
  <c r="J277" i="20"/>
  <c r="J213" i="20"/>
  <c r="J189" i="20"/>
  <c r="J149" i="20"/>
  <c r="J85" i="20"/>
  <c r="J180" i="20"/>
  <c r="J100" i="20"/>
  <c r="J28" i="20"/>
  <c r="J163" i="20"/>
  <c r="J123" i="20"/>
  <c r="J75" i="20"/>
  <c r="J324" i="20"/>
  <c r="J236" i="20"/>
  <c r="J52" i="20"/>
  <c r="J314" i="20"/>
  <c r="J234" i="20"/>
  <c r="J130" i="20"/>
  <c r="J328" i="20"/>
  <c r="G164" i="20"/>
  <c r="G25" i="20"/>
  <c r="G309" i="20"/>
  <c r="G245" i="20"/>
  <c r="G181" i="20"/>
  <c r="G117" i="20"/>
  <c r="G53" i="20"/>
  <c r="J304" i="20"/>
  <c r="G145" i="20"/>
  <c r="G49" i="20"/>
  <c r="G17" i="20"/>
  <c r="J113" i="20"/>
  <c r="J311" i="20"/>
  <c r="J126" i="20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1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G145" i="2" s="1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 s="1"/>
  <c r="W210" i="3" s="1"/>
  <c r="X210" i="3" s="1"/>
  <c r="Y210" i="3" s="1"/>
  <c r="I138" i="2"/>
  <c r="H138" i="2"/>
  <c r="I330" i="2"/>
  <c r="H330" i="2"/>
  <c r="I322" i="2"/>
  <c r="H322" i="2"/>
  <c r="I314" i="2"/>
  <c r="H314" i="2"/>
  <c r="J314" i="2" s="1"/>
  <c r="W314" i="3" s="1"/>
  <c r="X314" i="3" s="1"/>
  <c r="Y314" i="3" s="1"/>
  <c r="I306" i="2"/>
  <c r="H306" i="2"/>
  <c r="I290" i="2"/>
  <c r="H290" i="2"/>
  <c r="I282" i="2"/>
  <c r="H282" i="2"/>
  <c r="I274" i="2"/>
  <c r="H274" i="2"/>
  <c r="J274" i="2" s="1"/>
  <c r="W274" i="3" s="1"/>
  <c r="X274" i="3" s="1"/>
  <c r="Y274" i="3" s="1"/>
  <c r="I266" i="2"/>
  <c r="J266" i="2" s="1"/>
  <c r="W266" i="3" s="1"/>
  <c r="X266" i="3" s="1"/>
  <c r="Y266" i="3" s="1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J202" i="2" s="1"/>
  <c r="W202" i="3" s="1"/>
  <c r="X202" i="3" s="1"/>
  <c r="Y202" i="3" s="1"/>
  <c r="I194" i="2"/>
  <c r="H194" i="2"/>
  <c r="I186" i="2"/>
  <c r="H186" i="2"/>
  <c r="J186" i="2" s="1"/>
  <c r="W186" i="3" s="1"/>
  <c r="X186" i="3" s="1"/>
  <c r="Y186" i="3" s="1"/>
  <c r="I178" i="2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 s="1"/>
  <c r="W154" i="3" s="1"/>
  <c r="X154" i="3" s="1"/>
  <c r="Y154" i="3" s="1"/>
  <c r="I146" i="2"/>
  <c r="H146" i="2"/>
  <c r="J146" i="2" s="1"/>
  <c r="W146" i="3" s="1"/>
  <c r="X146" i="3" s="1"/>
  <c r="Y146" i="3" s="1"/>
  <c r="I130" i="2"/>
  <c r="H130" i="2"/>
  <c r="I122" i="2"/>
  <c r="H122" i="2"/>
  <c r="I114" i="2"/>
  <c r="H114" i="2"/>
  <c r="I106" i="2"/>
  <c r="H106" i="2"/>
  <c r="I98" i="2"/>
  <c r="H98" i="2"/>
  <c r="I90" i="2"/>
  <c r="H90" i="2"/>
  <c r="I82" i="2"/>
  <c r="J82" i="2" s="1"/>
  <c r="W82" i="3" s="1"/>
  <c r="X82" i="3" s="1"/>
  <c r="Y82" i="3" s="1"/>
  <c r="H82" i="2"/>
  <c r="I74" i="2"/>
  <c r="H74" i="2"/>
  <c r="I66" i="2"/>
  <c r="H66" i="2"/>
  <c r="J66" i="2" s="1"/>
  <c r="W66" i="3" s="1"/>
  <c r="X66" i="3" s="1"/>
  <c r="Y66" i="3" s="1"/>
  <c r="I58" i="2"/>
  <c r="H58" i="2"/>
  <c r="I50" i="2"/>
  <c r="H50" i="2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I10" i="2"/>
  <c r="J10" i="2" s="1"/>
  <c r="W10" i="3" s="1"/>
  <c r="X10" i="3" s="1"/>
  <c r="Y10" i="3" s="1"/>
  <c r="H10" i="2"/>
  <c r="I329" i="2"/>
  <c r="H329" i="2"/>
  <c r="G321" i="2"/>
  <c r="I321" i="2"/>
  <c r="H321" i="2"/>
  <c r="G313" i="2"/>
  <c r="I313" i="2"/>
  <c r="H313" i="2"/>
  <c r="J313" i="2" s="1"/>
  <c r="W313" i="3" s="1"/>
  <c r="X313" i="3" s="1"/>
  <c r="Y313" i="3" s="1"/>
  <c r="C305" i="2"/>
  <c r="I305" i="2"/>
  <c r="H305" i="2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G273" i="2"/>
  <c r="I273" i="2"/>
  <c r="H273" i="2"/>
  <c r="G265" i="2"/>
  <c r="I265" i="2"/>
  <c r="H265" i="2"/>
  <c r="I257" i="2"/>
  <c r="H257" i="2"/>
  <c r="J257" i="2"/>
  <c r="W257" i="3" s="1"/>
  <c r="X257" i="3" s="1"/>
  <c r="Y257" i="3" s="1"/>
  <c r="I249" i="2"/>
  <c r="H249" i="2"/>
  <c r="J249" i="2" s="1"/>
  <c r="W249" i="3" s="1"/>
  <c r="X249" i="3" s="1"/>
  <c r="Y249" i="3" s="1"/>
  <c r="C241" i="2"/>
  <c r="I241" i="2"/>
  <c r="H241" i="2"/>
  <c r="J241" i="2" s="1"/>
  <c r="W241" i="3" s="1"/>
  <c r="X241" i="3" s="1"/>
  <c r="Y241" i="3" s="1"/>
  <c r="I233" i="2"/>
  <c r="H233" i="2"/>
  <c r="G225" i="2"/>
  <c r="I225" i="2"/>
  <c r="H225" i="2"/>
  <c r="G217" i="2"/>
  <c r="I217" i="2"/>
  <c r="H217" i="2"/>
  <c r="G209" i="2"/>
  <c r="I209" i="2"/>
  <c r="H209" i="2"/>
  <c r="I201" i="2"/>
  <c r="H201" i="2"/>
  <c r="G193" i="2"/>
  <c r="I193" i="2"/>
  <c r="H193" i="2"/>
  <c r="C185" i="2"/>
  <c r="I185" i="2"/>
  <c r="H185" i="2"/>
  <c r="I177" i="2"/>
  <c r="H177" i="2"/>
  <c r="G169" i="2"/>
  <c r="I169" i="2"/>
  <c r="H169" i="2"/>
  <c r="J169" i="2" s="1"/>
  <c r="W169" i="3" s="1"/>
  <c r="X169" i="3" s="1"/>
  <c r="Y169" i="3" s="1"/>
  <c r="G161" i="2"/>
  <c r="I161" i="2"/>
  <c r="H161" i="2"/>
  <c r="G153" i="2"/>
  <c r="I153" i="2"/>
  <c r="H153" i="2"/>
  <c r="J153" i="2" s="1"/>
  <c r="W153" i="3" s="1"/>
  <c r="X153" i="3" s="1"/>
  <c r="Y153" i="3" s="1"/>
  <c r="I145" i="2"/>
  <c r="H145" i="2"/>
  <c r="J145" i="2" s="1"/>
  <c r="W145" i="3" s="1"/>
  <c r="X145" i="3" s="1"/>
  <c r="Y145" i="3" s="1"/>
  <c r="G137" i="2"/>
  <c r="I137" i="2"/>
  <c r="H137" i="2"/>
  <c r="I129" i="2"/>
  <c r="H129" i="2"/>
  <c r="J129" i="2" s="1"/>
  <c r="W129" i="3" s="1"/>
  <c r="X129" i="3" s="1"/>
  <c r="Y129" i="3" s="1"/>
  <c r="G121" i="2"/>
  <c r="I121" i="2"/>
  <c r="H121" i="2"/>
  <c r="I113" i="2"/>
  <c r="H113" i="2"/>
  <c r="G105" i="2"/>
  <c r="I105" i="2"/>
  <c r="H105" i="2"/>
  <c r="J105" i="2" s="1"/>
  <c r="W105" i="3" s="1"/>
  <c r="X105" i="3" s="1"/>
  <c r="Y105" i="3" s="1"/>
  <c r="G97" i="2"/>
  <c r="I97" i="2"/>
  <c r="H97" i="2"/>
  <c r="G89" i="2"/>
  <c r="I89" i="2"/>
  <c r="H89" i="2"/>
  <c r="I81" i="2"/>
  <c r="H81" i="2"/>
  <c r="J81" i="2" s="1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W65" i="3" s="1"/>
  <c r="X65" i="3" s="1"/>
  <c r="Y65" i="3" s="1"/>
  <c r="I57" i="2"/>
  <c r="H57" i="2"/>
  <c r="G49" i="2"/>
  <c r="I49" i="2"/>
  <c r="J49" i="2" s="1"/>
  <c r="W49" i="3" s="1"/>
  <c r="X49" i="3" s="1"/>
  <c r="Y49" i="3" s="1"/>
  <c r="H49" i="2"/>
  <c r="G41" i="2"/>
  <c r="I41" i="2"/>
  <c r="H41" i="2"/>
  <c r="G33" i="2"/>
  <c r="I33" i="2"/>
  <c r="H33" i="2"/>
  <c r="J33" i="2" s="1"/>
  <c r="W33" i="3" s="1"/>
  <c r="X33" i="3" s="1"/>
  <c r="Y33" i="3" s="1"/>
  <c r="I25" i="2"/>
  <c r="H25" i="2"/>
  <c r="I17" i="2"/>
  <c r="H17" i="2"/>
  <c r="J17" i="2" s="1"/>
  <c r="W17" i="3" s="1"/>
  <c r="X17" i="3" s="1"/>
  <c r="Y17" i="3" s="1"/>
  <c r="I9" i="2"/>
  <c r="H9" i="2"/>
  <c r="G23" i="2"/>
  <c r="I328" i="2"/>
  <c r="H328" i="2"/>
  <c r="I320" i="2"/>
  <c r="H320" i="2"/>
  <c r="J320" i="2"/>
  <c r="W320" i="3" s="1"/>
  <c r="X320" i="3" s="1"/>
  <c r="Y320" i="3" s="1"/>
  <c r="I312" i="2"/>
  <c r="H312" i="2"/>
  <c r="J312" i="2"/>
  <c r="W312" i="3" s="1"/>
  <c r="X312" i="3" s="1"/>
  <c r="Y312" i="3" s="1"/>
  <c r="H304" i="2"/>
  <c r="I304" i="2"/>
  <c r="H296" i="2"/>
  <c r="I296" i="2"/>
  <c r="H288" i="2"/>
  <c r="I288" i="2"/>
  <c r="I280" i="2"/>
  <c r="H280" i="2"/>
  <c r="J280" i="2" s="1"/>
  <c r="W280" i="3" s="1"/>
  <c r="X280" i="3" s="1"/>
  <c r="Y280" i="3" s="1"/>
  <c r="I272" i="2"/>
  <c r="H272" i="2"/>
  <c r="I264" i="2"/>
  <c r="H264" i="2"/>
  <c r="J264" i="2" s="1"/>
  <c r="W264" i="3" s="1"/>
  <c r="X264" i="3" s="1"/>
  <c r="Y264" i="3" s="1"/>
  <c r="I256" i="2"/>
  <c r="J256" i="2" s="1"/>
  <c r="W256" i="3" s="1"/>
  <c r="X256" i="3" s="1"/>
  <c r="Y256" i="3" s="1"/>
  <c r="H256" i="2"/>
  <c r="I248" i="2"/>
  <c r="H248" i="2"/>
  <c r="I240" i="2"/>
  <c r="H240" i="2"/>
  <c r="J240" i="2" s="1"/>
  <c r="W240" i="3" s="1"/>
  <c r="X240" i="3" s="1"/>
  <c r="Y240" i="3" s="1"/>
  <c r="I232" i="2"/>
  <c r="H232" i="2"/>
  <c r="I224" i="2"/>
  <c r="H224" i="2"/>
  <c r="I216" i="2"/>
  <c r="H216" i="2"/>
  <c r="I208" i="2"/>
  <c r="H208" i="2"/>
  <c r="I200" i="2"/>
  <c r="H200" i="2"/>
  <c r="J200" i="2" s="1"/>
  <c r="W200" i="3" s="1"/>
  <c r="X200" i="3" s="1"/>
  <c r="Y200" i="3" s="1"/>
  <c r="I192" i="2"/>
  <c r="H192" i="2"/>
  <c r="I184" i="2"/>
  <c r="H184" i="2"/>
  <c r="I176" i="2"/>
  <c r="H176" i="2"/>
  <c r="J176" i="2" s="1"/>
  <c r="W176" i="3" s="1"/>
  <c r="X176" i="3" s="1"/>
  <c r="Y176" i="3" s="1"/>
  <c r="I168" i="2"/>
  <c r="H168" i="2"/>
  <c r="I160" i="2"/>
  <c r="H160" i="2"/>
  <c r="I152" i="2"/>
  <c r="H152" i="2"/>
  <c r="I144" i="2"/>
  <c r="H144" i="2"/>
  <c r="J144" i="2" s="1"/>
  <c r="W144" i="3" s="1"/>
  <c r="X144" i="3" s="1"/>
  <c r="Y144" i="3" s="1"/>
  <c r="I136" i="2"/>
  <c r="H136" i="2"/>
  <c r="I128" i="2"/>
  <c r="H128" i="2"/>
  <c r="J128" i="2"/>
  <c r="I120" i="2"/>
  <c r="H120" i="2"/>
  <c r="J120" i="2"/>
  <c r="W120" i="3" s="1"/>
  <c r="X120" i="3" s="1"/>
  <c r="Y120" i="3" s="1"/>
  <c r="I112" i="2"/>
  <c r="H112" i="2"/>
  <c r="I104" i="2"/>
  <c r="H104" i="2"/>
  <c r="I96" i="2"/>
  <c r="H96" i="2"/>
  <c r="I88" i="2"/>
  <c r="H88" i="2"/>
  <c r="J88" i="2" s="1"/>
  <c r="W88" i="3" s="1"/>
  <c r="X88" i="3" s="1"/>
  <c r="Y88" i="3" s="1"/>
  <c r="I80" i="2"/>
  <c r="H80" i="2"/>
  <c r="I72" i="2"/>
  <c r="H72" i="2"/>
  <c r="I64" i="2"/>
  <c r="H64" i="2"/>
  <c r="J64" i="2" s="1"/>
  <c r="W64" i="3" s="1"/>
  <c r="X64" i="3" s="1"/>
  <c r="Y64" i="3" s="1"/>
  <c r="I56" i="2"/>
  <c r="H56" i="2"/>
  <c r="I48" i="2"/>
  <c r="H48" i="2"/>
  <c r="I40" i="2"/>
  <c r="H40" i="2"/>
  <c r="J40" i="2" s="1"/>
  <c r="W40" i="3" s="1"/>
  <c r="X40" i="3" s="1"/>
  <c r="Y40" i="3" s="1"/>
  <c r="I32" i="2"/>
  <c r="H32" i="2"/>
  <c r="I24" i="2"/>
  <c r="H24" i="2"/>
  <c r="J24" i="2"/>
  <c r="I16" i="2"/>
  <c r="H16" i="2"/>
  <c r="I8" i="2"/>
  <c r="H8" i="2"/>
  <c r="I327" i="2"/>
  <c r="H327" i="2"/>
  <c r="H319" i="2"/>
  <c r="I319" i="2"/>
  <c r="J319" i="2" s="1"/>
  <c r="W319" i="3" s="1"/>
  <c r="X319" i="3" s="1"/>
  <c r="Y319" i="3" s="1"/>
  <c r="I311" i="2"/>
  <c r="H311" i="2"/>
  <c r="J311" i="2"/>
  <c r="W311" i="3" s="1"/>
  <c r="X311" i="3" s="1"/>
  <c r="Y311" i="3" s="1"/>
  <c r="H303" i="2"/>
  <c r="J303" i="2" s="1"/>
  <c r="W303" i="3" s="1"/>
  <c r="X303" i="3" s="1"/>
  <c r="Y303" i="3" s="1"/>
  <c r="I303" i="2"/>
  <c r="I295" i="2"/>
  <c r="H295" i="2"/>
  <c r="H287" i="2"/>
  <c r="J287" i="2" s="1"/>
  <c r="W287" i="3" s="1"/>
  <c r="X287" i="3" s="1"/>
  <c r="Y287" i="3" s="1"/>
  <c r="I287" i="2"/>
  <c r="I279" i="2"/>
  <c r="H279" i="2"/>
  <c r="J279" i="2" s="1"/>
  <c r="W279" i="3" s="1"/>
  <c r="X279" i="3" s="1"/>
  <c r="Y279" i="3" s="1"/>
  <c r="H271" i="2"/>
  <c r="J271" i="2" s="1"/>
  <c r="W271" i="3" s="1"/>
  <c r="X271" i="3" s="1"/>
  <c r="Y271" i="3" s="1"/>
  <c r="I271" i="2"/>
  <c r="H263" i="2"/>
  <c r="I263" i="2"/>
  <c r="I255" i="2"/>
  <c r="H255" i="2"/>
  <c r="I247" i="2"/>
  <c r="H247" i="2"/>
  <c r="J247" i="2" s="1"/>
  <c r="W247" i="3" s="1"/>
  <c r="X247" i="3" s="1"/>
  <c r="Y247" i="3" s="1"/>
  <c r="H239" i="2"/>
  <c r="I239" i="2"/>
  <c r="I231" i="2"/>
  <c r="H231" i="2"/>
  <c r="H223" i="2"/>
  <c r="J223" i="2" s="1"/>
  <c r="W223" i="3" s="1"/>
  <c r="X223" i="3" s="1"/>
  <c r="Y223" i="3" s="1"/>
  <c r="I223" i="2"/>
  <c r="I215" i="2"/>
  <c r="H215" i="2"/>
  <c r="J215" i="2" s="1"/>
  <c r="W215" i="3" s="1"/>
  <c r="X215" i="3" s="1"/>
  <c r="Y215" i="3" s="1"/>
  <c r="H207" i="2"/>
  <c r="I207" i="2"/>
  <c r="H199" i="2"/>
  <c r="I199" i="2"/>
  <c r="I191" i="2"/>
  <c r="H191" i="2"/>
  <c r="H183" i="2"/>
  <c r="J183" i="2" s="1"/>
  <c r="W183" i="3" s="1"/>
  <c r="X183" i="3" s="1"/>
  <c r="Y183" i="3" s="1"/>
  <c r="I183" i="2"/>
  <c r="H175" i="2"/>
  <c r="I175" i="2"/>
  <c r="I167" i="2"/>
  <c r="H167" i="2"/>
  <c r="H159" i="2"/>
  <c r="I159" i="2"/>
  <c r="J159" i="2" s="1"/>
  <c r="W159" i="3" s="1"/>
  <c r="X159" i="3" s="1"/>
  <c r="Y159" i="3" s="1"/>
  <c r="I151" i="2"/>
  <c r="H151" i="2"/>
  <c r="J151" i="2" s="1"/>
  <c r="W151" i="3" s="1"/>
  <c r="X151" i="3" s="1"/>
  <c r="Y151" i="3" s="1"/>
  <c r="I143" i="2"/>
  <c r="H143" i="2"/>
  <c r="I135" i="2"/>
  <c r="H135" i="2"/>
  <c r="I127" i="2"/>
  <c r="H127" i="2"/>
  <c r="I119" i="2"/>
  <c r="H119" i="2"/>
  <c r="J119" i="2"/>
  <c r="W119" i="3" s="1"/>
  <c r="X119" i="3" s="1"/>
  <c r="Y119" i="3" s="1"/>
  <c r="I111" i="2"/>
  <c r="H111" i="2"/>
  <c r="I103" i="2"/>
  <c r="H103" i="2"/>
  <c r="I95" i="2"/>
  <c r="H95" i="2"/>
  <c r="I87" i="2"/>
  <c r="H87" i="2"/>
  <c r="J87" i="2" s="1"/>
  <c r="W87" i="3" s="1"/>
  <c r="X87" i="3" s="1"/>
  <c r="Y87" i="3" s="1"/>
  <c r="I79" i="2"/>
  <c r="H79" i="2"/>
  <c r="I71" i="2"/>
  <c r="H71" i="2"/>
  <c r="I63" i="2"/>
  <c r="H63" i="2"/>
  <c r="J63" i="2" s="1"/>
  <c r="W63" i="3" s="1"/>
  <c r="X63" i="3" s="1"/>
  <c r="Y63" i="3" s="1"/>
  <c r="I55" i="2"/>
  <c r="H55" i="2"/>
  <c r="J55" i="2" s="1"/>
  <c r="W55" i="3" s="1"/>
  <c r="X55" i="3" s="1"/>
  <c r="Y55" i="3" s="1"/>
  <c r="I47" i="2"/>
  <c r="H47" i="2"/>
  <c r="I39" i="2"/>
  <c r="H39" i="2"/>
  <c r="I31" i="2"/>
  <c r="H31" i="2"/>
  <c r="J31" i="2" s="1"/>
  <c r="W31" i="3" s="1"/>
  <c r="X31" i="3" s="1"/>
  <c r="Y31" i="3" s="1"/>
  <c r="I23" i="2"/>
  <c r="H23" i="2"/>
  <c r="J23" i="2" s="1"/>
  <c r="W23" i="3" s="1"/>
  <c r="X23" i="3" s="1"/>
  <c r="Y23" i="3" s="1"/>
  <c r="I15" i="2"/>
  <c r="H15" i="2"/>
  <c r="J15" i="2" s="1"/>
  <c r="W15" i="3" s="1"/>
  <c r="X15" i="3" s="1"/>
  <c r="Y15" i="3" s="1"/>
  <c r="I7" i="2"/>
  <c r="H7" i="2"/>
  <c r="H326" i="2"/>
  <c r="I326" i="2"/>
  <c r="B318" i="2"/>
  <c r="H318" i="2"/>
  <c r="I318" i="2"/>
  <c r="H310" i="2"/>
  <c r="J310" i="2" s="1"/>
  <c r="W310" i="3" s="1"/>
  <c r="X310" i="3" s="1"/>
  <c r="Y310" i="3" s="1"/>
  <c r="I310" i="2"/>
  <c r="H302" i="2"/>
  <c r="I302" i="2"/>
  <c r="B294" i="2"/>
  <c r="H294" i="2"/>
  <c r="J294" i="2" s="1"/>
  <c r="W294" i="3" s="1"/>
  <c r="X294" i="3" s="1"/>
  <c r="Y294" i="3" s="1"/>
  <c r="I294" i="2"/>
  <c r="H286" i="2"/>
  <c r="I286" i="2"/>
  <c r="H278" i="2"/>
  <c r="I278" i="2"/>
  <c r="H270" i="2"/>
  <c r="I270" i="2"/>
  <c r="J270" i="2"/>
  <c r="W270" i="3" s="1"/>
  <c r="X270" i="3" s="1"/>
  <c r="Y270" i="3" s="1"/>
  <c r="H262" i="2"/>
  <c r="I262" i="2"/>
  <c r="H254" i="2"/>
  <c r="J254" i="2" s="1"/>
  <c r="W254" i="3" s="1"/>
  <c r="X254" i="3" s="1"/>
  <c r="Y254" i="3" s="1"/>
  <c r="I254" i="2"/>
  <c r="H246" i="2"/>
  <c r="I246" i="2"/>
  <c r="H238" i="2"/>
  <c r="I238" i="2"/>
  <c r="H230" i="2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B198" i="2"/>
  <c r="H198" i="2"/>
  <c r="I198" i="2"/>
  <c r="H190" i="2"/>
  <c r="I190" i="2"/>
  <c r="H182" i="2"/>
  <c r="I182" i="2"/>
  <c r="H174" i="2"/>
  <c r="I174" i="2"/>
  <c r="H166" i="2"/>
  <c r="I166" i="2"/>
  <c r="J166" i="2" s="1"/>
  <c r="W166" i="3" s="1"/>
  <c r="X166" i="3" s="1"/>
  <c r="Y166" i="3" s="1"/>
  <c r="H158" i="2"/>
  <c r="I158" i="2"/>
  <c r="B150" i="2"/>
  <c r="H150" i="2"/>
  <c r="J150" i="2" s="1"/>
  <c r="W150" i="3" s="1"/>
  <c r="X150" i="3" s="1"/>
  <c r="Y150" i="3" s="1"/>
  <c r="I150" i="2"/>
  <c r="H142" i="2"/>
  <c r="I142" i="2"/>
  <c r="H134" i="2"/>
  <c r="I134" i="2"/>
  <c r="B126" i="2"/>
  <c r="H126" i="2"/>
  <c r="I126" i="2"/>
  <c r="J126" i="2" s="1"/>
  <c r="W126" i="3" s="1"/>
  <c r="X126" i="3" s="1"/>
  <c r="Y126" i="3" s="1"/>
  <c r="H118" i="2"/>
  <c r="I118" i="2"/>
  <c r="H110" i="2"/>
  <c r="I110" i="2"/>
  <c r="H102" i="2"/>
  <c r="I102" i="2"/>
  <c r="H94" i="2"/>
  <c r="I94" i="2"/>
  <c r="H86" i="2"/>
  <c r="I86" i="2"/>
  <c r="J86" i="2"/>
  <c r="W86" i="3" s="1"/>
  <c r="X86" i="3" s="1"/>
  <c r="Y86" i="3" s="1"/>
  <c r="H78" i="2"/>
  <c r="J78" i="2" s="1"/>
  <c r="W78" i="3" s="1"/>
  <c r="X78" i="3" s="1"/>
  <c r="Y78" i="3" s="1"/>
  <c r="I78" i="2"/>
  <c r="H70" i="2"/>
  <c r="I70" i="2"/>
  <c r="H62" i="2"/>
  <c r="I62" i="2"/>
  <c r="B54" i="2"/>
  <c r="H54" i="2"/>
  <c r="I54" i="2"/>
  <c r="H46" i="2"/>
  <c r="I46" i="2"/>
  <c r="J46" i="2" s="1"/>
  <c r="W46" i="3" s="1"/>
  <c r="X46" i="3" s="1"/>
  <c r="Y46" i="3" s="1"/>
  <c r="H38" i="2"/>
  <c r="J38" i="2" s="1"/>
  <c r="W38" i="3" s="1"/>
  <c r="X38" i="3" s="1"/>
  <c r="Y38" i="3" s="1"/>
  <c r="I38" i="2"/>
  <c r="H30" i="2"/>
  <c r="I30" i="2"/>
  <c r="H22" i="2"/>
  <c r="I22" i="2"/>
  <c r="H14" i="2"/>
  <c r="J14" i="2" s="1"/>
  <c r="W14" i="3" s="1"/>
  <c r="X14" i="3" s="1"/>
  <c r="Y14" i="3" s="1"/>
  <c r="I14" i="2"/>
  <c r="C325" i="2"/>
  <c r="H325" i="2"/>
  <c r="I325" i="2"/>
  <c r="J325" i="2"/>
  <c r="W325" i="3" s="1"/>
  <c r="X325" i="3" s="1"/>
  <c r="Y325" i="3" s="1"/>
  <c r="C317" i="2"/>
  <c r="H317" i="2"/>
  <c r="I317" i="2"/>
  <c r="H309" i="2"/>
  <c r="I309" i="2"/>
  <c r="C301" i="2"/>
  <c r="I301" i="2"/>
  <c r="H301" i="2"/>
  <c r="H293" i="2"/>
  <c r="I293" i="2"/>
  <c r="H285" i="2"/>
  <c r="I285" i="2"/>
  <c r="C277" i="2"/>
  <c r="I277" i="2"/>
  <c r="H277" i="2"/>
  <c r="J277" i="2" s="1"/>
  <c r="W277" i="3" s="1"/>
  <c r="X277" i="3" s="1"/>
  <c r="Y277" i="3" s="1"/>
  <c r="I269" i="2"/>
  <c r="H269" i="2"/>
  <c r="J269" i="2" s="1"/>
  <c r="W269" i="3" s="1"/>
  <c r="X269" i="3" s="1"/>
  <c r="Y269" i="3" s="1"/>
  <c r="H261" i="2"/>
  <c r="J261" i="2" s="1"/>
  <c r="W261" i="3" s="1"/>
  <c r="X261" i="3" s="1"/>
  <c r="Y261" i="3" s="1"/>
  <c r="I261" i="2"/>
  <c r="H253" i="2"/>
  <c r="I253" i="2"/>
  <c r="C245" i="2"/>
  <c r="H245" i="2"/>
  <c r="I245" i="2"/>
  <c r="I237" i="2"/>
  <c r="H237" i="2"/>
  <c r="C229" i="2"/>
  <c r="H229" i="2"/>
  <c r="I229" i="2"/>
  <c r="H221" i="2"/>
  <c r="I221" i="2"/>
  <c r="I213" i="2"/>
  <c r="H213" i="2"/>
  <c r="I205" i="2"/>
  <c r="H205" i="2"/>
  <c r="C197" i="2"/>
  <c r="H197" i="2"/>
  <c r="I197" i="2"/>
  <c r="H189" i="2"/>
  <c r="I189" i="2"/>
  <c r="H181" i="2"/>
  <c r="I181" i="2"/>
  <c r="I173" i="2"/>
  <c r="H173" i="2"/>
  <c r="J173" i="2" s="1"/>
  <c r="W173" i="3" s="1"/>
  <c r="X173" i="3" s="1"/>
  <c r="Y173" i="3" s="1"/>
  <c r="H165" i="2"/>
  <c r="I165" i="2"/>
  <c r="H157" i="2"/>
  <c r="I157" i="2"/>
  <c r="I149" i="2"/>
  <c r="H149" i="2"/>
  <c r="J149" i="2" s="1"/>
  <c r="W149" i="3" s="1"/>
  <c r="X149" i="3" s="1"/>
  <c r="Y149" i="3" s="1"/>
  <c r="I141" i="2"/>
  <c r="H141" i="2"/>
  <c r="H133" i="2"/>
  <c r="I133" i="2"/>
  <c r="I125" i="2"/>
  <c r="H125" i="2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I93" i="2"/>
  <c r="I85" i="2"/>
  <c r="H85" i="2"/>
  <c r="C77" i="2"/>
  <c r="I77" i="2"/>
  <c r="H77" i="2"/>
  <c r="H69" i="2"/>
  <c r="I69" i="2"/>
  <c r="J69" i="2" s="1"/>
  <c r="W69" i="3" s="1"/>
  <c r="X69" i="3" s="1"/>
  <c r="Y69" i="3" s="1"/>
  <c r="H61" i="2"/>
  <c r="J61" i="2" s="1"/>
  <c r="W61" i="3" s="1"/>
  <c r="X61" i="3" s="1"/>
  <c r="Y61" i="3" s="1"/>
  <c r="I61" i="2"/>
  <c r="H53" i="2"/>
  <c r="I53" i="2"/>
  <c r="H45" i="2"/>
  <c r="I45" i="2"/>
  <c r="H37" i="2"/>
  <c r="I37" i="2"/>
  <c r="J37" i="2"/>
  <c r="H29" i="2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 s="1"/>
  <c r="W324" i="3" s="1"/>
  <c r="X324" i="3" s="1"/>
  <c r="Y324" i="3" s="1"/>
  <c r="H316" i="2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H284" i="2"/>
  <c r="I284" i="2"/>
  <c r="H276" i="2"/>
  <c r="I276" i="2"/>
  <c r="H268" i="2"/>
  <c r="I268" i="2"/>
  <c r="J268" i="2" s="1"/>
  <c r="W268" i="3" s="1"/>
  <c r="X268" i="3" s="1"/>
  <c r="Y268" i="3" s="1"/>
  <c r="H260" i="2"/>
  <c r="J260" i="2" s="1"/>
  <c r="W260" i="3" s="1"/>
  <c r="X260" i="3" s="1"/>
  <c r="Y260" i="3" s="1"/>
  <c r="I260" i="2"/>
  <c r="H252" i="2"/>
  <c r="I252" i="2"/>
  <c r="H244" i="2"/>
  <c r="I244" i="2"/>
  <c r="H236" i="2"/>
  <c r="I236" i="2"/>
  <c r="H228" i="2"/>
  <c r="J228" i="2" s="1"/>
  <c r="W228" i="3" s="1"/>
  <c r="X228" i="3" s="1"/>
  <c r="Y228" i="3" s="1"/>
  <c r="I228" i="2"/>
  <c r="H220" i="2"/>
  <c r="I220" i="2"/>
  <c r="H212" i="2"/>
  <c r="I212" i="2"/>
  <c r="H204" i="2"/>
  <c r="I204" i="2"/>
  <c r="H196" i="2"/>
  <c r="J196" i="2" s="1"/>
  <c r="W196" i="3" s="1"/>
  <c r="X196" i="3" s="1"/>
  <c r="Y196" i="3" s="1"/>
  <c r="I196" i="2"/>
  <c r="H188" i="2"/>
  <c r="I188" i="2"/>
  <c r="H180" i="2"/>
  <c r="J180" i="2" s="1"/>
  <c r="W180" i="3" s="1"/>
  <c r="X180" i="3" s="1"/>
  <c r="Y180" i="3" s="1"/>
  <c r="I180" i="2"/>
  <c r="H172" i="2"/>
  <c r="I172" i="2"/>
  <c r="H164" i="2"/>
  <c r="J164" i="2" s="1"/>
  <c r="W164" i="3" s="1"/>
  <c r="X164" i="3" s="1"/>
  <c r="Y164" i="3" s="1"/>
  <c r="I164" i="2"/>
  <c r="H156" i="2"/>
  <c r="I156" i="2"/>
  <c r="H148" i="2"/>
  <c r="I148" i="2"/>
  <c r="H140" i="2"/>
  <c r="I140" i="2"/>
  <c r="H132" i="2"/>
  <c r="J132" i="2" s="1"/>
  <c r="W132" i="3" s="1"/>
  <c r="X132" i="3" s="1"/>
  <c r="Y132" i="3" s="1"/>
  <c r="I132" i="2"/>
  <c r="H124" i="2"/>
  <c r="J124" i="2" s="1"/>
  <c r="W124" i="3" s="1"/>
  <c r="X124" i="3" s="1"/>
  <c r="Y124" i="3" s="1"/>
  <c r="I124" i="2"/>
  <c r="H116" i="2"/>
  <c r="I116" i="2"/>
  <c r="H108" i="2"/>
  <c r="I108" i="2"/>
  <c r="H100" i="2"/>
  <c r="I100" i="2"/>
  <c r="J100" i="2"/>
  <c r="W100" i="3" s="1"/>
  <c r="X100" i="3" s="1"/>
  <c r="Y100" i="3" s="1"/>
  <c r="D92" i="2"/>
  <c r="H92" i="2"/>
  <c r="I92" i="2"/>
  <c r="H84" i="2"/>
  <c r="I84" i="2"/>
  <c r="H76" i="2"/>
  <c r="I76" i="2"/>
  <c r="H68" i="2"/>
  <c r="I68" i="2"/>
  <c r="H60" i="2"/>
  <c r="I60" i="2"/>
  <c r="D52" i="2"/>
  <c r="H52" i="2"/>
  <c r="I52" i="2"/>
  <c r="H44" i="2"/>
  <c r="I44" i="2"/>
  <c r="H36" i="2"/>
  <c r="J36" i="2" s="1"/>
  <c r="W36" i="3" s="1"/>
  <c r="X36" i="3" s="1"/>
  <c r="Y36" i="3" s="1"/>
  <c r="I36" i="2"/>
  <c r="H28" i="2"/>
  <c r="I28" i="2"/>
  <c r="H20" i="2"/>
  <c r="J20" i="2" s="1"/>
  <c r="W20" i="3" s="1"/>
  <c r="X20" i="3" s="1"/>
  <c r="Y20" i="3" s="1"/>
  <c r="I20" i="2"/>
  <c r="H12" i="2"/>
  <c r="I12" i="2"/>
  <c r="I6" i="2"/>
  <c r="J6" i="2" s="1"/>
  <c r="W6" i="3" s="1"/>
  <c r="H6" i="2"/>
  <c r="K6" i="2"/>
  <c r="I323" i="2"/>
  <c r="H323" i="2"/>
  <c r="I315" i="2"/>
  <c r="H315" i="2"/>
  <c r="I307" i="2"/>
  <c r="H307" i="2"/>
  <c r="I299" i="2"/>
  <c r="H299" i="2"/>
  <c r="I291" i="2"/>
  <c r="H291" i="2"/>
  <c r="I283" i="2"/>
  <c r="H283" i="2"/>
  <c r="I275" i="2"/>
  <c r="H275" i="2"/>
  <c r="E267" i="2"/>
  <c r="I267" i="2"/>
  <c r="H267" i="2"/>
  <c r="J267" i="2" s="1"/>
  <c r="W267" i="3" s="1"/>
  <c r="X267" i="3" s="1"/>
  <c r="Y267" i="3" s="1"/>
  <c r="I259" i="2"/>
  <c r="H259" i="2"/>
  <c r="J259" i="2" s="1"/>
  <c r="W259" i="3" s="1"/>
  <c r="X259" i="3" s="1"/>
  <c r="Y259" i="3" s="1"/>
  <c r="I251" i="2"/>
  <c r="H251" i="2"/>
  <c r="E243" i="2"/>
  <c r="I243" i="2"/>
  <c r="H243" i="2"/>
  <c r="I235" i="2"/>
  <c r="H235" i="2"/>
  <c r="I227" i="2"/>
  <c r="H227" i="2"/>
  <c r="J227" i="2" s="1"/>
  <c r="W227" i="3" s="1"/>
  <c r="X227" i="3" s="1"/>
  <c r="Y227" i="3" s="1"/>
  <c r="E219" i="2"/>
  <c r="I219" i="2"/>
  <c r="H219" i="2"/>
  <c r="I211" i="2"/>
  <c r="H211" i="2"/>
  <c r="J211" i="2" s="1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I187" i="2"/>
  <c r="H187" i="2"/>
  <c r="J187" i="2" s="1"/>
  <c r="W187" i="3" s="1"/>
  <c r="X187" i="3" s="1"/>
  <c r="Y187" i="3" s="1"/>
  <c r="I179" i="2"/>
  <c r="H179" i="2"/>
  <c r="J179" i="2" s="1"/>
  <c r="W179" i="3" s="1"/>
  <c r="X179" i="3" s="1"/>
  <c r="Y179" i="3" s="1"/>
  <c r="I171" i="2"/>
  <c r="H171" i="2"/>
  <c r="J171" i="2" s="1"/>
  <c r="W171" i="3" s="1"/>
  <c r="X171" i="3" s="1"/>
  <c r="Y171" i="3" s="1"/>
  <c r="I163" i="2"/>
  <c r="H163" i="2"/>
  <c r="I155" i="2"/>
  <c r="H155" i="2"/>
  <c r="J155" i="2" s="1"/>
  <c r="W155" i="3" s="1"/>
  <c r="X155" i="3" s="1"/>
  <c r="Y155" i="3" s="1"/>
  <c r="I147" i="2"/>
  <c r="H147" i="2"/>
  <c r="I139" i="2"/>
  <c r="H139" i="2"/>
  <c r="J139" i="2" s="1"/>
  <c r="W139" i="3" s="1"/>
  <c r="X139" i="3" s="1"/>
  <c r="Y139" i="3" s="1"/>
  <c r="I131" i="2"/>
  <c r="H131" i="2"/>
  <c r="E123" i="2"/>
  <c r="I123" i="2"/>
  <c r="H123" i="2"/>
  <c r="I115" i="2"/>
  <c r="H115" i="2"/>
  <c r="I107" i="2"/>
  <c r="H107" i="2"/>
  <c r="J107" i="2" s="1"/>
  <c r="W107" i="3" s="1"/>
  <c r="X107" i="3" s="1"/>
  <c r="Y107" i="3" s="1"/>
  <c r="I99" i="2"/>
  <c r="H99" i="2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I67" i="2"/>
  <c r="J67" i="2" s="1"/>
  <c r="W67" i="3" s="1"/>
  <c r="X67" i="3" s="1"/>
  <c r="Y67" i="3" s="1"/>
  <c r="H67" i="2"/>
  <c r="I59" i="2"/>
  <c r="H59" i="2"/>
  <c r="E51" i="2"/>
  <c r="I51" i="2"/>
  <c r="H51" i="2"/>
  <c r="I43" i="2"/>
  <c r="H43" i="2"/>
  <c r="I35" i="2"/>
  <c r="H35" i="2"/>
  <c r="J35" i="2" s="1"/>
  <c r="W35" i="3" s="1"/>
  <c r="X35" i="3" s="1"/>
  <c r="Y35" i="3" s="1"/>
  <c r="I27" i="2"/>
  <c r="H27" i="2"/>
  <c r="I19" i="2"/>
  <c r="H19" i="2"/>
  <c r="I11" i="2"/>
  <c r="H11" i="2"/>
  <c r="J11" i="2" s="1"/>
  <c r="W11" i="3" s="1"/>
  <c r="X11" i="3" s="1"/>
  <c r="Y11" i="3" s="1"/>
  <c r="H258" i="3"/>
  <c r="H194" i="3"/>
  <c r="H98" i="3"/>
  <c r="H329" i="3"/>
  <c r="H321" i="3"/>
  <c r="H313" i="3"/>
  <c r="H305" i="3"/>
  <c r="H297" i="3"/>
  <c r="H289" i="3"/>
  <c r="H281" i="3"/>
  <c r="H273" i="3"/>
  <c r="H265" i="3"/>
  <c r="H257" i="3"/>
  <c r="H249" i="3"/>
  <c r="H241" i="3"/>
  <c r="H233" i="3"/>
  <c r="H225" i="3"/>
  <c r="H217" i="3"/>
  <c r="H209" i="3"/>
  <c r="H201" i="3"/>
  <c r="H193" i="3"/>
  <c r="H185" i="3"/>
  <c r="H177" i="3"/>
  <c r="H169" i="3"/>
  <c r="H161" i="3"/>
  <c r="H153" i="3"/>
  <c r="H145" i="3"/>
  <c r="H137" i="3"/>
  <c r="H129" i="3"/>
  <c r="H121" i="3"/>
  <c r="H113" i="3"/>
  <c r="H105" i="3"/>
  <c r="H97" i="3"/>
  <c r="H89" i="3"/>
  <c r="H81" i="3"/>
  <c r="H73" i="3"/>
  <c r="H65" i="3"/>
  <c r="H57" i="3"/>
  <c r="H49" i="3"/>
  <c r="H41" i="3"/>
  <c r="H33" i="3"/>
  <c r="H25" i="3"/>
  <c r="H17" i="3"/>
  <c r="H9" i="3"/>
  <c r="H306" i="3"/>
  <c r="H242" i="3"/>
  <c r="H170" i="3"/>
  <c r="H90" i="3"/>
  <c r="H328" i="3"/>
  <c r="H320" i="3"/>
  <c r="H312" i="3"/>
  <c r="H304" i="3"/>
  <c r="H296" i="3"/>
  <c r="H288" i="3"/>
  <c r="H280" i="3"/>
  <c r="H272" i="3"/>
  <c r="H264" i="3"/>
  <c r="H256" i="3"/>
  <c r="H248" i="3"/>
  <c r="H240" i="3"/>
  <c r="H232" i="3"/>
  <c r="H224" i="3"/>
  <c r="H216" i="3"/>
  <c r="H208" i="3"/>
  <c r="H200" i="3"/>
  <c r="H192" i="3"/>
  <c r="H184" i="3"/>
  <c r="H176" i="3"/>
  <c r="H168" i="3"/>
  <c r="H160" i="3"/>
  <c r="H152" i="3"/>
  <c r="H144" i="3"/>
  <c r="H136" i="3"/>
  <c r="H128" i="3"/>
  <c r="H120" i="3"/>
  <c r="H112" i="3"/>
  <c r="H104" i="3"/>
  <c r="H96" i="3"/>
  <c r="H88" i="3"/>
  <c r="H80" i="3"/>
  <c r="H72" i="3"/>
  <c r="H64" i="3"/>
  <c r="H56" i="3"/>
  <c r="H48" i="3"/>
  <c r="H40" i="3"/>
  <c r="H32" i="3"/>
  <c r="H24" i="3"/>
  <c r="H16" i="3"/>
  <c r="H8" i="3"/>
  <c r="H322" i="3"/>
  <c r="H266" i="3"/>
  <c r="H218" i="3"/>
  <c r="H154" i="3"/>
  <c r="H82" i="3"/>
  <c r="H327" i="3"/>
  <c r="H319" i="3"/>
  <c r="H311" i="3"/>
  <c r="H303" i="3"/>
  <c r="H295" i="3"/>
  <c r="H287" i="3"/>
  <c r="H279" i="3"/>
  <c r="H271" i="3"/>
  <c r="H263" i="3"/>
  <c r="H255" i="3"/>
  <c r="H247" i="3"/>
  <c r="H239" i="3"/>
  <c r="H231" i="3"/>
  <c r="H223" i="3"/>
  <c r="H215" i="3"/>
  <c r="H207" i="3"/>
  <c r="H199" i="3"/>
  <c r="H191" i="3"/>
  <c r="H183" i="3"/>
  <c r="H175" i="3"/>
  <c r="H167" i="3"/>
  <c r="H159" i="3"/>
  <c r="H151" i="3"/>
  <c r="H143" i="3"/>
  <c r="H135" i="3"/>
  <c r="H127" i="3"/>
  <c r="H119" i="3"/>
  <c r="H111" i="3"/>
  <c r="H103" i="3"/>
  <c r="H95" i="3"/>
  <c r="H87" i="3"/>
  <c r="H79" i="3"/>
  <c r="H71" i="3"/>
  <c r="H63" i="3"/>
  <c r="H55" i="3"/>
  <c r="H47" i="3"/>
  <c r="H39" i="3"/>
  <c r="H31" i="3"/>
  <c r="H23" i="3"/>
  <c r="H15" i="3"/>
  <c r="H7" i="3"/>
  <c r="H298" i="3"/>
  <c r="H250" i="3"/>
  <c r="H186" i="3"/>
  <c r="H138" i="3"/>
  <c r="H122" i="3"/>
  <c r="H74" i="3"/>
  <c r="H42" i="3"/>
  <c r="H26" i="3"/>
  <c r="H18" i="3"/>
  <c r="H326" i="3"/>
  <c r="H318" i="3"/>
  <c r="H310" i="3"/>
  <c r="H302" i="3"/>
  <c r="H294" i="3"/>
  <c r="H286" i="3"/>
  <c r="H278" i="3"/>
  <c r="H270" i="3"/>
  <c r="H262" i="3"/>
  <c r="H254" i="3"/>
  <c r="H246" i="3"/>
  <c r="H238" i="3"/>
  <c r="H230" i="3"/>
  <c r="H222" i="3"/>
  <c r="H214" i="3"/>
  <c r="H206" i="3"/>
  <c r="H198" i="3"/>
  <c r="H190" i="3"/>
  <c r="H182" i="3"/>
  <c r="H174" i="3"/>
  <c r="H166" i="3"/>
  <c r="H158" i="3"/>
  <c r="H150" i="3"/>
  <c r="H142" i="3"/>
  <c r="H134" i="3"/>
  <c r="H126" i="3"/>
  <c r="H118" i="3"/>
  <c r="H110" i="3"/>
  <c r="H102" i="3"/>
  <c r="H94" i="3"/>
  <c r="H86" i="3"/>
  <c r="H78" i="3"/>
  <c r="H70" i="3"/>
  <c r="H62" i="3"/>
  <c r="H54" i="3"/>
  <c r="H46" i="3"/>
  <c r="H38" i="3"/>
  <c r="H30" i="3"/>
  <c r="H22" i="3"/>
  <c r="H14" i="3"/>
  <c r="H330" i="3"/>
  <c r="H282" i="3"/>
  <c r="H234" i="3"/>
  <c r="H202" i="3"/>
  <c r="H178" i="3"/>
  <c r="H130" i="3"/>
  <c r="H114" i="3"/>
  <c r="H106" i="3"/>
  <c r="H50" i="3"/>
  <c r="H34" i="3"/>
  <c r="H10" i="3"/>
  <c r="H325" i="3"/>
  <c r="H317" i="3"/>
  <c r="H309" i="3"/>
  <c r="H301" i="3"/>
  <c r="H293" i="3"/>
  <c r="H285" i="3"/>
  <c r="H277" i="3"/>
  <c r="H269" i="3"/>
  <c r="H261" i="3"/>
  <c r="H253" i="3"/>
  <c r="H245" i="3"/>
  <c r="H237" i="3"/>
  <c r="H229" i="3"/>
  <c r="H221" i="3"/>
  <c r="H213" i="3"/>
  <c r="H205" i="3"/>
  <c r="H197" i="3"/>
  <c r="H189" i="3"/>
  <c r="H181" i="3"/>
  <c r="H173" i="3"/>
  <c r="H165" i="3"/>
  <c r="H157" i="3"/>
  <c r="H149" i="3"/>
  <c r="H141" i="3"/>
  <c r="H133" i="3"/>
  <c r="H125" i="3"/>
  <c r="H117" i="3"/>
  <c r="H109" i="3"/>
  <c r="H101" i="3"/>
  <c r="H93" i="3"/>
  <c r="H85" i="3"/>
  <c r="H77" i="3"/>
  <c r="H69" i="3"/>
  <c r="H61" i="3"/>
  <c r="H53" i="3"/>
  <c r="H45" i="3"/>
  <c r="H37" i="3"/>
  <c r="H29" i="3"/>
  <c r="H21" i="3"/>
  <c r="H13" i="3"/>
  <c r="H290" i="3"/>
  <c r="H210" i="3"/>
  <c r="H146" i="3"/>
  <c r="H58" i="3"/>
  <c r="H324" i="3"/>
  <c r="H316" i="3"/>
  <c r="H308" i="3"/>
  <c r="H300" i="3"/>
  <c r="H292" i="3"/>
  <c r="H284" i="3"/>
  <c r="H276" i="3"/>
  <c r="H268" i="3"/>
  <c r="H260" i="3"/>
  <c r="H252" i="3"/>
  <c r="H244" i="3"/>
  <c r="H236" i="3"/>
  <c r="H228" i="3"/>
  <c r="H220" i="3"/>
  <c r="H212" i="3"/>
  <c r="H204" i="3"/>
  <c r="H196" i="3"/>
  <c r="H188" i="3"/>
  <c r="H180" i="3"/>
  <c r="H172" i="3"/>
  <c r="H164" i="3"/>
  <c r="H156" i="3"/>
  <c r="H148" i="3"/>
  <c r="H140" i="3"/>
  <c r="H132" i="3"/>
  <c r="H124" i="3"/>
  <c r="H116" i="3"/>
  <c r="H108" i="3"/>
  <c r="H100" i="3"/>
  <c r="H92" i="3"/>
  <c r="H84" i="3"/>
  <c r="H76" i="3"/>
  <c r="H68" i="3"/>
  <c r="H60" i="3"/>
  <c r="H52" i="3"/>
  <c r="H44" i="3"/>
  <c r="H36" i="3"/>
  <c r="H28" i="3"/>
  <c r="H20" i="3"/>
  <c r="H12" i="3"/>
  <c r="H314" i="3"/>
  <c r="H274" i="3"/>
  <c r="H226" i="3"/>
  <c r="H162" i="3"/>
  <c r="H66" i="3"/>
  <c r="H323" i="3"/>
  <c r="H315" i="3"/>
  <c r="H307" i="3"/>
  <c r="H299" i="3"/>
  <c r="H291" i="3"/>
  <c r="H283" i="3"/>
  <c r="H275" i="3"/>
  <c r="H267" i="3"/>
  <c r="H259" i="3"/>
  <c r="H251" i="3"/>
  <c r="H243" i="3"/>
  <c r="H235" i="3"/>
  <c r="H227" i="3"/>
  <c r="H219" i="3"/>
  <c r="H211" i="3"/>
  <c r="H203" i="3"/>
  <c r="H195" i="3"/>
  <c r="H187" i="3"/>
  <c r="H179" i="3"/>
  <c r="H171" i="3"/>
  <c r="H163" i="3"/>
  <c r="H155" i="3"/>
  <c r="H147" i="3"/>
  <c r="H139" i="3"/>
  <c r="H131" i="3"/>
  <c r="H123" i="3"/>
  <c r="H115" i="3"/>
  <c r="H107" i="3"/>
  <c r="H99" i="3"/>
  <c r="H91" i="3"/>
  <c r="H83" i="3"/>
  <c r="H75" i="3"/>
  <c r="H67" i="3"/>
  <c r="H59" i="3"/>
  <c r="H51" i="3"/>
  <c r="H43" i="3"/>
  <c r="H35" i="3"/>
  <c r="H27" i="3"/>
  <c r="H19" i="3"/>
  <c r="H11" i="3"/>
  <c r="G250" i="2"/>
  <c r="G143" i="2"/>
  <c r="V143" i="3" s="1"/>
  <c r="G143" i="3" s="1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R32" i="3" s="1"/>
  <c r="C32" i="3" s="1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R171" i="3" s="1"/>
  <c r="C171" i="3" s="1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V289" i="3" s="1"/>
  <c r="G289" i="3" s="1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7" i="10"/>
  <c r="B26" i="12" s="1"/>
  <c r="B27" i="12" s="1"/>
  <c r="A46" i="10"/>
  <c r="B25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V173" i="3" s="1"/>
  <c r="G173" i="3" s="1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V64" i="3" s="1"/>
  <c r="G64" i="3" s="1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R235" i="3"/>
  <c r="C235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M61" i="3" s="1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M314" i="3" s="1"/>
  <c r="B126" i="1"/>
  <c r="F258" i="1"/>
  <c r="B246" i="1"/>
  <c r="F232" i="1"/>
  <c r="D8" i="2"/>
  <c r="S8" i="3" s="1"/>
  <c r="D8" i="3" s="1"/>
  <c r="B328" i="3"/>
  <c r="K176" i="3"/>
  <c r="M176" i="3" s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M232" i="3" s="1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E306" i="5"/>
  <c r="E290" i="5"/>
  <c r="E191" i="5"/>
  <c r="K215" i="2"/>
  <c r="K223" i="2"/>
  <c r="K296" i="2"/>
  <c r="K268" i="2"/>
  <c r="K19" i="2"/>
  <c r="K15" i="2"/>
  <c r="K8" i="3"/>
  <c r="M8" i="3" s="1"/>
  <c r="K121" i="3"/>
  <c r="M121" i="3" s="1"/>
  <c r="K216" i="3"/>
  <c r="M216" i="3" s="1"/>
  <c r="K280" i="3"/>
  <c r="M280" i="3" s="1"/>
  <c r="K48" i="3"/>
  <c r="M48" i="3" s="1"/>
  <c r="K133" i="3"/>
  <c r="M133" i="3" s="1"/>
  <c r="K217" i="3"/>
  <c r="M217" i="3" s="1"/>
  <c r="K300" i="3"/>
  <c r="M300" i="3" s="1"/>
  <c r="K190" i="2"/>
  <c r="E218" i="5"/>
  <c r="E206" i="5"/>
  <c r="E78" i="5"/>
  <c r="E46" i="5"/>
  <c r="K325" i="3"/>
  <c r="M325" i="3" s="1"/>
  <c r="K287" i="3"/>
  <c r="M287" i="3" s="1"/>
  <c r="K231" i="3"/>
  <c r="M231" i="3" s="1"/>
  <c r="K223" i="3"/>
  <c r="M223" i="3" s="1"/>
  <c r="K301" i="3"/>
  <c r="M301" i="3" s="1"/>
  <c r="K175" i="3"/>
  <c r="M175" i="3" s="1"/>
  <c r="E185" i="5"/>
  <c r="E165" i="5"/>
  <c r="E154" i="5"/>
  <c r="E142" i="5"/>
  <c r="F117" i="5"/>
  <c r="F131" i="5"/>
  <c r="F14" i="5"/>
  <c r="F303" i="5"/>
  <c r="K328" i="3"/>
  <c r="M328" i="3" s="1"/>
  <c r="K320" i="3"/>
  <c r="M320" i="3" s="1"/>
  <c r="K313" i="3"/>
  <c r="M313" i="3" s="1"/>
  <c r="K202" i="3"/>
  <c r="M202" i="3" s="1"/>
  <c r="K154" i="3"/>
  <c r="M154" i="3" s="1"/>
  <c r="K258" i="3"/>
  <c r="M258" i="3" s="1"/>
  <c r="K89" i="3"/>
  <c r="M89" i="3" s="1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M273" i="3" s="1"/>
  <c r="K265" i="3"/>
  <c r="M265" i="3" s="1"/>
  <c r="K257" i="3"/>
  <c r="M257" i="3" s="1"/>
  <c r="K245" i="3"/>
  <c r="M245" i="3" s="1"/>
  <c r="K181" i="3"/>
  <c r="M181" i="3" s="1"/>
  <c r="K161" i="3"/>
  <c r="M161" i="3" s="1"/>
  <c r="K149" i="3"/>
  <c r="M149" i="3" s="1"/>
  <c r="K145" i="3"/>
  <c r="M145" i="3" s="1"/>
  <c r="K117" i="3"/>
  <c r="M117" i="3" s="1"/>
  <c r="K73" i="3"/>
  <c r="M73" i="3" s="1"/>
  <c r="K37" i="3"/>
  <c r="M37" i="3" s="1"/>
  <c r="K17" i="3"/>
  <c r="M17" i="3" s="1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M288" i="3" s="1"/>
  <c r="K272" i="3"/>
  <c r="M272" i="3" s="1"/>
  <c r="K208" i="3"/>
  <c r="M208" i="3" s="1"/>
  <c r="K188" i="3"/>
  <c r="M188" i="3" s="1"/>
  <c r="K168" i="3"/>
  <c r="M168" i="3" s="1"/>
  <c r="K104" i="3"/>
  <c r="M104" i="3" s="1"/>
  <c r="K64" i="3"/>
  <c r="M64" i="3" s="1"/>
  <c r="K32" i="3"/>
  <c r="M32" i="3" s="1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M306" i="3" s="1"/>
  <c r="B306" i="3"/>
  <c r="B250" i="3"/>
  <c r="K250" i="3"/>
  <c r="M250" i="3" s="1"/>
  <c r="K162" i="3"/>
  <c r="M162" i="3" s="1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M237" i="3" s="1"/>
  <c r="K194" i="3"/>
  <c r="M194" i="3" s="1"/>
  <c r="K93" i="3"/>
  <c r="M93" i="3" s="1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M189" i="3" s="1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W117" i="3"/>
  <c r="X117" i="3" s="1"/>
  <c r="Y117" i="3" s="1"/>
  <c r="F112" i="5"/>
  <c r="F229" i="5"/>
  <c r="F126" i="5"/>
  <c r="F27" i="5"/>
  <c r="F215" i="5"/>
  <c r="F216" i="5"/>
  <c r="F113" i="5"/>
  <c r="F234" i="5"/>
  <c r="F127" i="5"/>
  <c r="F295" i="5"/>
  <c r="K9" i="3"/>
  <c r="M9" i="3" s="1"/>
  <c r="K25" i="3"/>
  <c r="M25" i="3" s="1"/>
  <c r="K40" i="3"/>
  <c r="M40" i="3" s="1"/>
  <c r="K53" i="3"/>
  <c r="M53" i="3" s="1"/>
  <c r="K69" i="3"/>
  <c r="M69" i="3" s="1"/>
  <c r="K81" i="3"/>
  <c r="M81" i="3" s="1"/>
  <c r="K96" i="3"/>
  <c r="M96" i="3" s="1"/>
  <c r="K112" i="3"/>
  <c r="M112" i="3" s="1"/>
  <c r="K125" i="3"/>
  <c r="M125" i="3" s="1"/>
  <c r="K137" i="3"/>
  <c r="M137" i="3" s="1"/>
  <c r="K152" i="3"/>
  <c r="M152" i="3" s="1"/>
  <c r="K157" i="3"/>
  <c r="M157" i="3" s="1"/>
  <c r="K165" i="3"/>
  <c r="M165" i="3" s="1"/>
  <c r="K177" i="3"/>
  <c r="M177" i="3" s="1"/>
  <c r="K185" i="3"/>
  <c r="M185" i="3" s="1"/>
  <c r="K191" i="3"/>
  <c r="M191" i="3" s="1"/>
  <c r="K199" i="3"/>
  <c r="M199" i="3" s="1"/>
  <c r="K204" i="3"/>
  <c r="M204" i="3" s="1"/>
  <c r="K212" i="3"/>
  <c r="M212" i="3" s="1"/>
  <c r="K218" i="3"/>
  <c r="M218" i="3" s="1"/>
  <c r="K226" i="3"/>
  <c r="M226" i="3" s="1"/>
  <c r="K233" i="3"/>
  <c r="M233" i="3" s="1"/>
  <c r="K241" i="3"/>
  <c r="M241" i="3" s="1"/>
  <c r="K247" i="3"/>
  <c r="M247" i="3" s="1"/>
  <c r="K253" i="3"/>
  <c r="M253" i="3" s="1"/>
  <c r="K261" i="3"/>
  <c r="M261" i="3" s="1"/>
  <c r="K268" i="3"/>
  <c r="M268" i="3" s="1"/>
  <c r="K276" i="3"/>
  <c r="M276" i="3" s="1"/>
  <c r="K282" i="3"/>
  <c r="M282" i="3" s="1"/>
  <c r="K290" i="3"/>
  <c r="M290" i="3" s="1"/>
  <c r="K296" i="3"/>
  <c r="M296" i="3" s="1"/>
  <c r="K304" i="3"/>
  <c r="M304" i="3" s="1"/>
  <c r="K309" i="3"/>
  <c r="M309" i="3" s="1"/>
  <c r="K316" i="3"/>
  <c r="M316" i="3" s="1"/>
  <c r="K324" i="3"/>
  <c r="M324" i="3" s="1"/>
  <c r="K329" i="3"/>
  <c r="M329" i="3" s="1"/>
  <c r="K16" i="3"/>
  <c r="M16" i="3" s="1"/>
  <c r="K29" i="3"/>
  <c r="M29" i="3" s="1"/>
  <c r="K41" i="3"/>
  <c r="M41" i="3" s="1"/>
  <c r="K57" i="3"/>
  <c r="M57" i="3" s="1"/>
  <c r="K72" i="3"/>
  <c r="M72" i="3" s="1"/>
  <c r="K85" i="3"/>
  <c r="M85" i="3" s="1"/>
  <c r="K101" i="3"/>
  <c r="M101" i="3" s="1"/>
  <c r="K113" i="3"/>
  <c r="M113" i="3" s="1"/>
  <c r="K128" i="3"/>
  <c r="M128" i="3" s="1"/>
  <c r="K144" i="3"/>
  <c r="M144" i="3" s="1"/>
  <c r="K153" i="3"/>
  <c r="M153" i="3" s="1"/>
  <c r="K159" i="3"/>
  <c r="M159" i="3" s="1"/>
  <c r="K167" i="3"/>
  <c r="M167" i="3" s="1"/>
  <c r="K172" i="3"/>
  <c r="M172" i="3" s="1"/>
  <c r="K180" i="3"/>
  <c r="M180" i="3" s="1"/>
  <c r="K186" i="3"/>
  <c r="M186" i="3" s="1"/>
  <c r="K193" i="3"/>
  <c r="M193" i="3" s="1"/>
  <c r="K200" i="3"/>
  <c r="M200" i="3" s="1"/>
  <c r="K207" i="3"/>
  <c r="M207" i="3" s="1"/>
  <c r="K213" i="3"/>
  <c r="M213" i="3" s="1"/>
  <c r="K221" i="3"/>
  <c r="M221" i="3" s="1"/>
  <c r="K228" i="3"/>
  <c r="M228" i="3" s="1"/>
  <c r="K236" i="3"/>
  <c r="M236" i="3" s="1"/>
  <c r="K242" i="3"/>
  <c r="M242" i="3" s="1"/>
  <c r="K248" i="3"/>
  <c r="M248" i="3" s="1"/>
  <c r="K256" i="3"/>
  <c r="M256" i="3" s="1"/>
  <c r="K263" i="3"/>
  <c r="M263" i="3" s="1"/>
  <c r="K271" i="3"/>
  <c r="M271" i="3" s="1"/>
  <c r="K277" i="3"/>
  <c r="M277" i="3" s="1"/>
  <c r="K285" i="3"/>
  <c r="M285" i="3" s="1"/>
  <c r="K292" i="3"/>
  <c r="M292" i="3" s="1"/>
  <c r="K297" i="3"/>
  <c r="M297" i="3" s="1"/>
  <c r="K305" i="3"/>
  <c r="M305" i="3" s="1"/>
  <c r="K311" i="3"/>
  <c r="M311" i="3" s="1"/>
  <c r="K319" i="3"/>
  <c r="M319" i="3" s="1"/>
  <c r="K330" i="3"/>
  <c r="M330" i="3" s="1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K159" i="2"/>
  <c r="K24" i="2"/>
  <c r="K304" i="2"/>
  <c r="W37" i="3"/>
  <c r="X37" i="3" s="1"/>
  <c r="Y37" i="3" s="1"/>
  <c r="K293" i="2"/>
  <c r="F211" i="5"/>
  <c r="F122" i="5"/>
  <c r="F328" i="5"/>
  <c r="K321" i="3"/>
  <c r="M321" i="3" s="1"/>
  <c r="K308" i="3"/>
  <c r="M308" i="3" s="1"/>
  <c r="K295" i="3"/>
  <c r="M295" i="3" s="1"/>
  <c r="K281" i="3"/>
  <c r="M281" i="3" s="1"/>
  <c r="K266" i="3"/>
  <c r="M266" i="3" s="1"/>
  <c r="K252" i="3"/>
  <c r="M252" i="3" s="1"/>
  <c r="K239" i="3"/>
  <c r="M239" i="3" s="1"/>
  <c r="K224" i="3"/>
  <c r="M224" i="3" s="1"/>
  <c r="K209" i="3"/>
  <c r="M209" i="3" s="1"/>
  <c r="K197" i="3"/>
  <c r="M197" i="3" s="1"/>
  <c r="K184" i="3"/>
  <c r="M184" i="3" s="1"/>
  <c r="K170" i="3"/>
  <c r="M170" i="3" s="1"/>
  <c r="K156" i="3"/>
  <c r="M156" i="3" s="1"/>
  <c r="K136" i="3"/>
  <c r="M136" i="3" s="1"/>
  <c r="K105" i="3"/>
  <c r="M105" i="3" s="1"/>
  <c r="K80" i="3"/>
  <c r="M80" i="3" s="1"/>
  <c r="K49" i="3"/>
  <c r="M49" i="3" s="1"/>
  <c r="K21" i="3"/>
  <c r="M21" i="3" s="1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128" i="3"/>
  <c r="X128" i="3" s="1"/>
  <c r="Y12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K300" i="2"/>
  <c r="K328" i="2"/>
  <c r="K269" i="2"/>
  <c r="K285" i="2"/>
  <c r="K301" i="2"/>
  <c r="K317" i="2"/>
  <c r="K58" i="2"/>
  <c r="K94" i="2"/>
  <c r="K122" i="2"/>
  <c r="K158" i="2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K51" i="2"/>
  <c r="K83" i="2"/>
  <c r="K115" i="2"/>
  <c r="K147" i="2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M11" i="3" s="1"/>
  <c r="K12" i="3"/>
  <c r="M12" i="3" s="1"/>
  <c r="K20" i="3"/>
  <c r="M20" i="3" s="1"/>
  <c r="K28" i="3"/>
  <c r="M28" i="3" s="1"/>
  <c r="K36" i="3"/>
  <c r="M36" i="3" s="1"/>
  <c r="K44" i="3"/>
  <c r="M44" i="3" s="1"/>
  <c r="K52" i="3"/>
  <c r="M52" i="3" s="1"/>
  <c r="K60" i="3"/>
  <c r="M60" i="3" s="1"/>
  <c r="K68" i="3"/>
  <c r="M68" i="3" s="1"/>
  <c r="K76" i="3"/>
  <c r="M76" i="3" s="1"/>
  <c r="K84" i="3"/>
  <c r="M84" i="3" s="1"/>
  <c r="K92" i="3"/>
  <c r="M92" i="3" s="1"/>
  <c r="K100" i="3"/>
  <c r="M100" i="3" s="1"/>
  <c r="K108" i="3"/>
  <c r="M108" i="3" s="1"/>
  <c r="K116" i="3"/>
  <c r="M116" i="3" s="1"/>
  <c r="K124" i="3"/>
  <c r="M124" i="3" s="1"/>
  <c r="K132" i="3"/>
  <c r="M132" i="3" s="1"/>
  <c r="K140" i="3"/>
  <c r="M140" i="3" s="1"/>
  <c r="K148" i="3"/>
  <c r="M148" i="3" s="1"/>
  <c r="K327" i="3"/>
  <c r="M327" i="3" s="1"/>
  <c r="K322" i="3"/>
  <c r="M322" i="3" s="1"/>
  <c r="K317" i="3"/>
  <c r="M317" i="3" s="1"/>
  <c r="K312" i="3"/>
  <c r="M312" i="3" s="1"/>
  <c r="K303" i="3"/>
  <c r="M303" i="3" s="1"/>
  <c r="K298" i="3"/>
  <c r="M298" i="3" s="1"/>
  <c r="K293" i="3"/>
  <c r="M293" i="3" s="1"/>
  <c r="K289" i="3"/>
  <c r="M289" i="3" s="1"/>
  <c r="K284" i="3"/>
  <c r="M284" i="3" s="1"/>
  <c r="K279" i="3"/>
  <c r="M279" i="3" s="1"/>
  <c r="K274" i="3"/>
  <c r="M274" i="3" s="1"/>
  <c r="K269" i="3"/>
  <c r="M269" i="3" s="1"/>
  <c r="K264" i="3"/>
  <c r="M264" i="3" s="1"/>
  <c r="K260" i="3"/>
  <c r="M260" i="3" s="1"/>
  <c r="K255" i="3"/>
  <c r="M255" i="3" s="1"/>
  <c r="K249" i="3"/>
  <c r="M249" i="3" s="1"/>
  <c r="K244" i="3"/>
  <c r="M244" i="3" s="1"/>
  <c r="K240" i="3"/>
  <c r="M240" i="3" s="1"/>
  <c r="K234" i="3"/>
  <c r="M234" i="3" s="1"/>
  <c r="K229" i="3"/>
  <c r="M229" i="3" s="1"/>
  <c r="K225" i="3"/>
  <c r="M225" i="3" s="1"/>
  <c r="K220" i="3"/>
  <c r="M220" i="3" s="1"/>
  <c r="K215" i="3"/>
  <c r="M215" i="3" s="1"/>
  <c r="K210" i="3"/>
  <c r="M210" i="3" s="1"/>
  <c r="K205" i="3"/>
  <c r="M205" i="3" s="1"/>
  <c r="K201" i="3"/>
  <c r="M201" i="3" s="1"/>
  <c r="K196" i="3"/>
  <c r="M196" i="3" s="1"/>
  <c r="K192" i="3"/>
  <c r="M192" i="3" s="1"/>
  <c r="K183" i="3"/>
  <c r="M183" i="3" s="1"/>
  <c r="K178" i="3"/>
  <c r="M178" i="3" s="1"/>
  <c r="K173" i="3"/>
  <c r="M173" i="3" s="1"/>
  <c r="K169" i="3"/>
  <c r="M169" i="3" s="1"/>
  <c r="K164" i="3"/>
  <c r="M164" i="3" s="1"/>
  <c r="K160" i="3"/>
  <c r="M160" i="3" s="1"/>
  <c r="K151" i="3"/>
  <c r="M151" i="3" s="1"/>
  <c r="K141" i="3"/>
  <c r="M141" i="3" s="1"/>
  <c r="K129" i="3"/>
  <c r="M129" i="3" s="1"/>
  <c r="K120" i="3"/>
  <c r="M120" i="3" s="1"/>
  <c r="K109" i="3"/>
  <c r="M109" i="3" s="1"/>
  <c r="K97" i="3"/>
  <c r="M97" i="3" s="1"/>
  <c r="K88" i="3"/>
  <c r="M88" i="3" s="1"/>
  <c r="K77" i="3"/>
  <c r="M77" i="3" s="1"/>
  <c r="K65" i="3"/>
  <c r="M65" i="3" s="1"/>
  <c r="K56" i="3"/>
  <c r="M56" i="3" s="1"/>
  <c r="K45" i="3"/>
  <c r="M45" i="3" s="1"/>
  <c r="K33" i="3"/>
  <c r="M33" i="3" s="1"/>
  <c r="K24" i="3"/>
  <c r="M24" i="3" s="1"/>
  <c r="K13" i="3"/>
  <c r="M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4" i="3"/>
  <c r="X24" i="3" s="1"/>
  <c r="Y24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M146" i="3" s="1"/>
  <c r="K143" i="3"/>
  <c r="M143" i="3" s="1"/>
  <c r="K138" i="3"/>
  <c r="M138" i="3" s="1"/>
  <c r="K135" i="3"/>
  <c r="M135" i="3" s="1"/>
  <c r="K130" i="3"/>
  <c r="M130" i="3" s="1"/>
  <c r="K127" i="3"/>
  <c r="M127" i="3" s="1"/>
  <c r="K122" i="3"/>
  <c r="M122" i="3" s="1"/>
  <c r="K119" i="3"/>
  <c r="M119" i="3" s="1"/>
  <c r="K114" i="3"/>
  <c r="M114" i="3" s="1"/>
  <c r="K111" i="3"/>
  <c r="M111" i="3" s="1"/>
  <c r="K106" i="3"/>
  <c r="M106" i="3" s="1"/>
  <c r="K103" i="3"/>
  <c r="M103" i="3" s="1"/>
  <c r="K98" i="3"/>
  <c r="M98" i="3" s="1"/>
  <c r="K95" i="3"/>
  <c r="M95" i="3" s="1"/>
  <c r="K90" i="3"/>
  <c r="M90" i="3" s="1"/>
  <c r="K87" i="3"/>
  <c r="M87" i="3" s="1"/>
  <c r="K82" i="3"/>
  <c r="M82" i="3" s="1"/>
  <c r="K79" i="3"/>
  <c r="M79" i="3" s="1"/>
  <c r="K74" i="3"/>
  <c r="M74" i="3" s="1"/>
  <c r="K71" i="3"/>
  <c r="M71" i="3" s="1"/>
  <c r="K66" i="3"/>
  <c r="M66" i="3" s="1"/>
  <c r="K63" i="3"/>
  <c r="M63" i="3" s="1"/>
  <c r="K58" i="3"/>
  <c r="M58" i="3" s="1"/>
  <c r="K55" i="3"/>
  <c r="M55" i="3" s="1"/>
  <c r="K50" i="3"/>
  <c r="M50" i="3" s="1"/>
  <c r="K47" i="3"/>
  <c r="M47" i="3" s="1"/>
  <c r="K42" i="3"/>
  <c r="M42" i="3" s="1"/>
  <c r="K39" i="3"/>
  <c r="M39" i="3" s="1"/>
  <c r="K34" i="3"/>
  <c r="M34" i="3" s="1"/>
  <c r="K31" i="3"/>
  <c r="M31" i="3" s="1"/>
  <c r="K26" i="3"/>
  <c r="M26" i="3" s="1"/>
  <c r="K23" i="3"/>
  <c r="M23" i="3" s="1"/>
  <c r="K18" i="3"/>
  <c r="M18" i="3" s="1"/>
  <c r="K15" i="3"/>
  <c r="M15" i="3" s="1"/>
  <c r="K10" i="3"/>
  <c r="M10" i="3" s="1"/>
  <c r="K7" i="3"/>
  <c r="M7" i="3" s="1"/>
  <c r="K6" i="3"/>
  <c r="K326" i="3"/>
  <c r="M326" i="3" s="1"/>
  <c r="K323" i="3"/>
  <c r="M323" i="3" s="1"/>
  <c r="K318" i="3"/>
  <c r="M318" i="3" s="1"/>
  <c r="K315" i="3"/>
  <c r="M315" i="3" s="1"/>
  <c r="K310" i="3"/>
  <c r="M310" i="3" s="1"/>
  <c r="K307" i="3"/>
  <c r="M307" i="3" s="1"/>
  <c r="K302" i="3"/>
  <c r="M302" i="3" s="1"/>
  <c r="K299" i="3"/>
  <c r="M299" i="3" s="1"/>
  <c r="K294" i="3"/>
  <c r="M294" i="3" s="1"/>
  <c r="K291" i="3"/>
  <c r="M291" i="3" s="1"/>
  <c r="K286" i="3"/>
  <c r="M286" i="3" s="1"/>
  <c r="K283" i="3"/>
  <c r="M283" i="3" s="1"/>
  <c r="K278" i="3"/>
  <c r="M278" i="3" s="1"/>
  <c r="K275" i="3"/>
  <c r="M275" i="3" s="1"/>
  <c r="K270" i="3"/>
  <c r="M270" i="3" s="1"/>
  <c r="K267" i="3"/>
  <c r="M267" i="3" s="1"/>
  <c r="K262" i="3"/>
  <c r="M262" i="3" s="1"/>
  <c r="K259" i="3"/>
  <c r="M259" i="3" s="1"/>
  <c r="K254" i="3"/>
  <c r="M254" i="3" s="1"/>
  <c r="K251" i="3"/>
  <c r="M251" i="3" s="1"/>
  <c r="K246" i="3"/>
  <c r="M246" i="3" s="1"/>
  <c r="K243" i="3"/>
  <c r="M243" i="3" s="1"/>
  <c r="K238" i="3"/>
  <c r="M238" i="3" s="1"/>
  <c r="K235" i="3"/>
  <c r="M235" i="3" s="1"/>
  <c r="K230" i="3"/>
  <c r="M230" i="3" s="1"/>
  <c r="K227" i="3"/>
  <c r="M227" i="3" s="1"/>
  <c r="K222" i="3"/>
  <c r="M222" i="3" s="1"/>
  <c r="K219" i="3"/>
  <c r="M219" i="3" s="1"/>
  <c r="K214" i="3"/>
  <c r="M214" i="3" s="1"/>
  <c r="K211" i="3"/>
  <c r="M211" i="3" s="1"/>
  <c r="K206" i="3"/>
  <c r="M206" i="3" s="1"/>
  <c r="K203" i="3"/>
  <c r="M203" i="3" s="1"/>
  <c r="K198" i="3"/>
  <c r="M198" i="3" s="1"/>
  <c r="K195" i="3"/>
  <c r="M195" i="3" s="1"/>
  <c r="K190" i="3"/>
  <c r="M190" i="3" s="1"/>
  <c r="K187" i="3"/>
  <c r="M187" i="3" s="1"/>
  <c r="K182" i="3"/>
  <c r="M182" i="3" s="1"/>
  <c r="K179" i="3"/>
  <c r="M179" i="3" s="1"/>
  <c r="K174" i="3"/>
  <c r="M174" i="3" s="1"/>
  <c r="K171" i="3"/>
  <c r="M171" i="3" s="1"/>
  <c r="K166" i="3"/>
  <c r="M166" i="3" s="1"/>
  <c r="K163" i="3"/>
  <c r="M163" i="3" s="1"/>
  <c r="K158" i="3"/>
  <c r="M158" i="3" s="1"/>
  <c r="K155" i="3"/>
  <c r="M155" i="3" s="1"/>
  <c r="K150" i="3"/>
  <c r="M150" i="3" s="1"/>
  <c r="K147" i="3"/>
  <c r="M147" i="3" s="1"/>
  <c r="K142" i="3"/>
  <c r="M142" i="3" s="1"/>
  <c r="K139" i="3"/>
  <c r="M139" i="3" s="1"/>
  <c r="K134" i="3"/>
  <c r="M134" i="3" s="1"/>
  <c r="K131" i="3"/>
  <c r="M131" i="3" s="1"/>
  <c r="K126" i="3"/>
  <c r="M126" i="3" s="1"/>
  <c r="K123" i="3"/>
  <c r="M123" i="3" s="1"/>
  <c r="K118" i="3"/>
  <c r="M118" i="3" s="1"/>
  <c r="K115" i="3"/>
  <c r="M115" i="3" s="1"/>
  <c r="K110" i="3"/>
  <c r="M110" i="3" s="1"/>
  <c r="K107" i="3"/>
  <c r="M107" i="3" s="1"/>
  <c r="K102" i="3"/>
  <c r="M102" i="3" s="1"/>
  <c r="K99" i="3"/>
  <c r="M99" i="3" s="1"/>
  <c r="K94" i="3"/>
  <c r="M94" i="3" s="1"/>
  <c r="K91" i="3"/>
  <c r="M91" i="3" s="1"/>
  <c r="K86" i="3"/>
  <c r="M86" i="3" s="1"/>
  <c r="K83" i="3"/>
  <c r="M83" i="3" s="1"/>
  <c r="K78" i="3"/>
  <c r="M78" i="3" s="1"/>
  <c r="K75" i="3"/>
  <c r="M75" i="3" s="1"/>
  <c r="K70" i="3"/>
  <c r="M70" i="3" s="1"/>
  <c r="K67" i="3"/>
  <c r="M67" i="3" s="1"/>
  <c r="K62" i="3"/>
  <c r="M62" i="3" s="1"/>
  <c r="K59" i="3"/>
  <c r="M59" i="3" s="1"/>
  <c r="K54" i="3"/>
  <c r="M54" i="3" s="1"/>
  <c r="K51" i="3"/>
  <c r="M51" i="3" s="1"/>
  <c r="K46" i="3"/>
  <c r="M46" i="3" s="1"/>
  <c r="K43" i="3"/>
  <c r="M43" i="3" s="1"/>
  <c r="K38" i="3"/>
  <c r="M38" i="3" s="1"/>
  <c r="K35" i="3"/>
  <c r="M35" i="3" s="1"/>
  <c r="K30" i="3"/>
  <c r="M30" i="3" s="1"/>
  <c r="K27" i="3"/>
  <c r="M27" i="3" s="1"/>
  <c r="K22" i="3"/>
  <c r="M22" i="3" s="1"/>
  <c r="K19" i="3"/>
  <c r="M19" i="3" s="1"/>
  <c r="K14" i="3"/>
  <c r="M14" i="3" s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J6" i="3" l="1"/>
  <c r="O6" i="3" s="1"/>
  <c r="M6" i="3"/>
  <c r="H275" i="1"/>
  <c r="J147" i="2"/>
  <c r="W147" i="3" s="1"/>
  <c r="X147" i="3" s="1"/>
  <c r="Y147" i="3" s="1"/>
  <c r="J243" i="2"/>
  <c r="W243" i="3" s="1"/>
  <c r="X243" i="3" s="1"/>
  <c r="Y243" i="3" s="1"/>
  <c r="J299" i="2"/>
  <c r="W299" i="3" s="1"/>
  <c r="X299" i="3" s="1"/>
  <c r="Y299" i="3" s="1"/>
  <c r="J28" i="2"/>
  <c r="W28" i="3" s="1"/>
  <c r="X28" i="3" s="1"/>
  <c r="Y28" i="3" s="1"/>
  <c r="J172" i="2"/>
  <c r="W172" i="3" s="1"/>
  <c r="X172" i="3" s="1"/>
  <c r="Y172" i="3" s="1"/>
  <c r="J204" i="2"/>
  <c r="W204" i="3" s="1"/>
  <c r="X204" i="3" s="1"/>
  <c r="Y204" i="3" s="1"/>
  <c r="J292" i="2"/>
  <c r="W292" i="3" s="1"/>
  <c r="X292" i="3" s="1"/>
  <c r="Y292" i="3" s="1"/>
  <c r="J309" i="2"/>
  <c r="W309" i="3" s="1"/>
  <c r="X309" i="3" s="1"/>
  <c r="Y309" i="3" s="1"/>
  <c r="J206" i="2"/>
  <c r="W206" i="3" s="1"/>
  <c r="X206" i="3" s="1"/>
  <c r="Y206" i="3" s="1"/>
  <c r="J238" i="2"/>
  <c r="W238" i="3" s="1"/>
  <c r="X238" i="3" s="1"/>
  <c r="Y238" i="3" s="1"/>
  <c r="J56" i="2"/>
  <c r="W56" i="3" s="1"/>
  <c r="X56" i="3" s="1"/>
  <c r="Y56" i="3" s="1"/>
  <c r="J41" i="2"/>
  <c r="W41" i="3" s="1"/>
  <c r="X41" i="3" s="1"/>
  <c r="Y41" i="3" s="1"/>
  <c r="J296" i="2"/>
  <c r="W296" i="3" s="1"/>
  <c r="X296" i="3" s="1"/>
  <c r="Y296" i="3" s="1"/>
  <c r="J137" i="2"/>
  <c r="W137" i="3" s="1"/>
  <c r="X137" i="3" s="1"/>
  <c r="Y137" i="3" s="1"/>
  <c r="J177" i="2"/>
  <c r="W177" i="3" s="1"/>
  <c r="X177" i="3" s="1"/>
  <c r="Y177" i="3" s="1"/>
  <c r="J201" i="2"/>
  <c r="W201" i="3" s="1"/>
  <c r="X201" i="3" s="1"/>
  <c r="Y201" i="3" s="1"/>
  <c r="J225" i="2"/>
  <c r="W225" i="3" s="1"/>
  <c r="X225" i="3" s="1"/>
  <c r="Y225" i="3" s="1"/>
  <c r="J74" i="2"/>
  <c r="W74" i="3" s="1"/>
  <c r="X74" i="3" s="1"/>
  <c r="Y74" i="3" s="1"/>
  <c r="J75" i="2"/>
  <c r="W75" i="3" s="1"/>
  <c r="X75" i="3" s="1"/>
  <c r="Y75" i="3" s="1"/>
  <c r="J275" i="2"/>
  <c r="W275" i="3" s="1"/>
  <c r="X275" i="3" s="1"/>
  <c r="Y275" i="3" s="1"/>
  <c r="J307" i="2"/>
  <c r="W307" i="3" s="1"/>
  <c r="X307" i="3" s="1"/>
  <c r="Y307" i="3" s="1"/>
  <c r="J60" i="2"/>
  <c r="W60" i="3" s="1"/>
  <c r="X60" i="3" s="1"/>
  <c r="Y60" i="3" s="1"/>
  <c r="J92" i="2"/>
  <c r="W92" i="3" s="1"/>
  <c r="X92" i="3" s="1"/>
  <c r="Y92" i="3" s="1"/>
  <c r="J181" i="2"/>
  <c r="W181" i="3" s="1"/>
  <c r="X181" i="3" s="1"/>
  <c r="Y181" i="3" s="1"/>
  <c r="J317" i="2"/>
  <c r="W317" i="3" s="1"/>
  <c r="X317" i="3" s="1"/>
  <c r="Y317" i="3" s="1"/>
  <c r="J134" i="2"/>
  <c r="W134" i="3" s="1"/>
  <c r="X134" i="3" s="1"/>
  <c r="Y134" i="3" s="1"/>
  <c r="J158" i="2"/>
  <c r="W158" i="3" s="1"/>
  <c r="X158" i="3" s="1"/>
  <c r="Y158" i="3" s="1"/>
  <c r="J302" i="2"/>
  <c r="W302" i="3" s="1"/>
  <c r="X302" i="3" s="1"/>
  <c r="Y302" i="3" s="1"/>
  <c r="J95" i="2"/>
  <c r="W95" i="3" s="1"/>
  <c r="X95" i="3" s="1"/>
  <c r="Y95" i="3" s="1"/>
  <c r="J127" i="2"/>
  <c r="W127" i="3" s="1"/>
  <c r="X127" i="3" s="1"/>
  <c r="Y127" i="3" s="1"/>
  <c r="J207" i="2"/>
  <c r="W207" i="3" s="1"/>
  <c r="X207" i="3" s="1"/>
  <c r="Y207" i="3" s="1"/>
  <c r="J51" i="2"/>
  <c r="W51" i="3" s="1"/>
  <c r="X51" i="3" s="1"/>
  <c r="Y51" i="3" s="1"/>
  <c r="J131" i="2"/>
  <c r="W131" i="3" s="1"/>
  <c r="X131" i="3" s="1"/>
  <c r="Y131" i="3" s="1"/>
  <c r="J195" i="2"/>
  <c r="W195" i="3" s="1"/>
  <c r="X195" i="3" s="1"/>
  <c r="Y195" i="3" s="1"/>
  <c r="J251" i="2"/>
  <c r="W251" i="3" s="1"/>
  <c r="X251" i="3" s="1"/>
  <c r="Y251" i="3" s="1"/>
  <c r="J68" i="2"/>
  <c r="W68" i="3" s="1"/>
  <c r="X68" i="3" s="1"/>
  <c r="Y68" i="3" s="1"/>
  <c r="J189" i="2"/>
  <c r="W189" i="3" s="1"/>
  <c r="X189" i="3" s="1"/>
  <c r="Y189" i="3" s="1"/>
  <c r="J54" i="2"/>
  <c r="W54" i="3" s="1"/>
  <c r="X54" i="3" s="1"/>
  <c r="Y54" i="3" s="1"/>
  <c r="J39" i="2"/>
  <c r="W39" i="3" s="1"/>
  <c r="X39" i="3" s="1"/>
  <c r="Y39" i="3" s="1"/>
  <c r="J103" i="2"/>
  <c r="W103" i="3" s="1"/>
  <c r="X103" i="3" s="1"/>
  <c r="Y103" i="3" s="1"/>
  <c r="J8" i="2"/>
  <c r="W8" i="3" s="1"/>
  <c r="X8" i="3" s="1"/>
  <c r="Y8" i="3" s="1"/>
  <c r="J152" i="2"/>
  <c r="W152" i="3" s="1"/>
  <c r="X152" i="3" s="1"/>
  <c r="Y152" i="3" s="1"/>
  <c r="J184" i="2"/>
  <c r="W184" i="3" s="1"/>
  <c r="X184" i="3" s="1"/>
  <c r="Y184" i="3" s="1"/>
  <c r="J216" i="2"/>
  <c r="W216" i="3" s="1"/>
  <c r="X216" i="3" s="1"/>
  <c r="Y216" i="3" s="1"/>
  <c r="J248" i="2"/>
  <c r="W248" i="3" s="1"/>
  <c r="X248" i="3" s="1"/>
  <c r="Y248" i="3" s="1"/>
  <c r="J304" i="2"/>
  <c r="W304" i="3" s="1"/>
  <c r="X304" i="3" s="1"/>
  <c r="Y304" i="3" s="1"/>
  <c r="J18" i="2"/>
  <c r="W18" i="3" s="1"/>
  <c r="X18" i="3" s="1"/>
  <c r="Y18" i="3" s="1"/>
  <c r="J50" i="2"/>
  <c r="W50" i="3" s="1"/>
  <c r="X50" i="3" s="1"/>
  <c r="Y50" i="3" s="1"/>
  <c r="J178" i="2"/>
  <c r="W178" i="3" s="1"/>
  <c r="X178" i="3" s="1"/>
  <c r="Y178" i="3" s="1"/>
  <c r="J290" i="2"/>
  <c r="W290" i="3" s="1"/>
  <c r="X290" i="3" s="1"/>
  <c r="Y290" i="3" s="1"/>
  <c r="J330" i="2"/>
  <c r="X330" i="3" s="1"/>
  <c r="Y330" i="3" s="1"/>
  <c r="J12" i="2"/>
  <c r="W12" i="3" s="1"/>
  <c r="X12" i="3" s="1"/>
  <c r="Y12" i="3" s="1"/>
  <c r="J252" i="2"/>
  <c r="W252" i="3" s="1"/>
  <c r="X252" i="3" s="1"/>
  <c r="Y252" i="3" s="1"/>
  <c r="J221" i="2"/>
  <c r="W221" i="3" s="1"/>
  <c r="X221" i="3" s="1"/>
  <c r="Y221" i="3" s="1"/>
  <c r="J142" i="2"/>
  <c r="W142" i="3" s="1"/>
  <c r="X142" i="3" s="1"/>
  <c r="Y142" i="3" s="1"/>
  <c r="J198" i="2"/>
  <c r="W198" i="3" s="1"/>
  <c r="X198" i="3" s="1"/>
  <c r="Y198" i="3" s="1"/>
  <c r="J47" i="2"/>
  <c r="W47" i="3" s="1"/>
  <c r="X47" i="3" s="1"/>
  <c r="Y47" i="3" s="1"/>
  <c r="J79" i="2"/>
  <c r="W79" i="3" s="1"/>
  <c r="X79" i="3" s="1"/>
  <c r="Y79" i="3" s="1"/>
  <c r="J72" i="2"/>
  <c r="W72" i="3" s="1"/>
  <c r="X72" i="3" s="1"/>
  <c r="Y72" i="3" s="1"/>
  <c r="J104" i="2"/>
  <c r="W104" i="3" s="1"/>
  <c r="X104" i="3" s="1"/>
  <c r="Y104" i="3" s="1"/>
  <c r="J192" i="2"/>
  <c r="W192" i="3" s="1"/>
  <c r="X192" i="3" s="1"/>
  <c r="Y192" i="3" s="1"/>
  <c r="J224" i="2"/>
  <c r="W224" i="3" s="1"/>
  <c r="X224" i="3" s="1"/>
  <c r="Y224" i="3" s="1"/>
  <c r="J9" i="2"/>
  <c r="W9" i="3" s="1"/>
  <c r="X9" i="3" s="1"/>
  <c r="Y9" i="3" s="1"/>
  <c r="J281" i="2"/>
  <c r="W281" i="3" s="1"/>
  <c r="X281" i="3" s="1"/>
  <c r="Y281" i="3" s="1"/>
  <c r="J305" i="2"/>
  <c r="W305" i="3" s="1"/>
  <c r="X305" i="3" s="1"/>
  <c r="Y305" i="3" s="1"/>
  <c r="J122" i="2"/>
  <c r="W122" i="3" s="1"/>
  <c r="X122" i="3" s="1"/>
  <c r="Y122" i="3" s="1"/>
  <c r="J27" i="2"/>
  <c r="W27" i="3" s="1"/>
  <c r="X27" i="3" s="1"/>
  <c r="Y27" i="3" s="1"/>
  <c r="J59" i="2"/>
  <c r="W59" i="3" s="1"/>
  <c r="X59" i="3" s="1"/>
  <c r="Y59" i="3" s="1"/>
  <c r="J115" i="2"/>
  <c r="W115" i="3" s="1"/>
  <c r="X115" i="3" s="1"/>
  <c r="Y115" i="3" s="1"/>
  <c r="J291" i="2"/>
  <c r="W291" i="3" s="1"/>
  <c r="X291" i="3" s="1"/>
  <c r="Y291" i="3" s="1"/>
  <c r="J323" i="2"/>
  <c r="W323" i="3" s="1"/>
  <c r="X323" i="3" s="1"/>
  <c r="Y323" i="3" s="1"/>
  <c r="J52" i="2"/>
  <c r="W52" i="3" s="1"/>
  <c r="X52" i="3" s="1"/>
  <c r="Y52" i="3" s="1"/>
  <c r="J284" i="2"/>
  <c r="W284" i="3" s="1"/>
  <c r="X284" i="3" s="1"/>
  <c r="Y284" i="3" s="1"/>
  <c r="J197" i="2"/>
  <c r="W197" i="3" s="1"/>
  <c r="X197" i="3" s="1"/>
  <c r="Y197" i="3" s="1"/>
  <c r="J229" i="2"/>
  <c r="W229" i="3" s="1"/>
  <c r="X229" i="3" s="1"/>
  <c r="Y229" i="3" s="1"/>
  <c r="J118" i="2"/>
  <c r="W118" i="3" s="1"/>
  <c r="X118" i="3" s="1"/>
  <c r="Y118" i="3" s="1"/>
  <c r="J255" i="2"/>
  <c r="W255" i="3" s="1"/>
  <c r="X255" i="3" s="1"/>
  <c r="Y255" i="3" s="1"/>
  <c r="J48" i="2"/>
  <c r="W48" i="3" s="1"/>
  <c r="X48" i="3" s="1"/>
  <c r="Y48" i="3" s="1"/>
  <c r="J57" i="2"/>
  <c r="W57" i="3" s="1"/>
  <c r="X57" i="3" s="1"/>
  <c r="Y57" i="3" s="1"/>
  <c r="J193" i="2"/>
  <c r="W193" i="3" s="1"/>
  <c r="X193" i="3" s="1"/>
  <c r="Y193" i="3" s="1"/>
  <c r="J217" i="2"/>
  <c r="W217" i="3" s="1"/>
  <c r="X217" i="3" s="1"/>
  <c r="Y217" i="3" s="1"/>
  <c r="J306" i="2"/>
  <c r="W306" i="3" s="1"/>
  <c r="X306" i="3" s="1"/>
  <c r="Y306" i="3" s="1"/>
  <c r="J19" i="2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J326" i="2"/>
  <c r="W326" i="3" s="1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1" i="2"/>
  <c r="I331" i="2"/>
  <c r="H331" i="3"/>
  <c r="J319" i="3"/>
  <c r="O319" i="3" s="1"/>
  <c r="J303" i="3"/>
  <c r="O303" i="3" s="1"/>
  <c r="J197" i="3"/>
  <c r="O197" i="3" s="1"/>
  <c r="J46" i="3"/>
  <c r="O46" i="3" s="1"/>
  <c r="J56" i="3"/>
  <c r="O56" i="3" s="1"/>
  <c r="J37" i="3"/>
  <c r="O37" i="3" s="1"/>
  <c r="J138" i="3"/>
  <c r="O138" i="3" s="1"/>
  <c r="J178" i="3"/>
  <c r="O178" i="3" s="1"/>
  <c r="J102" i="3"/>
  <c r="O102" i="3" s="1"/>
  <c r="J126" i="3"/>
  <c r="O126" i="3" s="1"/>
  <c r="J292" i="3"/>
  <c r="O292" i="3" s="1"/>
  <c r="J190" i="3"/>
  <c r="O190" i="3" s="1"/>
  <c r="J289" i="3"/>
  <c r="O289" i="3" s="1"/>
  <c r="J188" i="3"/>
  <c r="O188" i="3" s="1"/>
  <c r="J43" i="3"/>
  <c r="O43" i="3" s="1"/>
  <c r="J282" i="3"/>
  <c r="O282" i="3" s="1"/>
  <c r="J214" i="3"/>
  <c r="O214" i="3" s="1"/>
  <c r="J140" i="3"/>
  <c r="O140" i="3" s="1"/>
  <c r="J42" i="3"/>
  <c r="O42" i="3" s="1"/>
  <c r="J251" i="3"/>
  <c r="O251" i="3" s="1"/>
  <c r="J121" i="3"/>
  <c r="O121" i="3" s="1"/>
  <c r="J142" i="3"/>
  <c r="O142" i="3" s="1"/>
  <c r="J154" i="3"/>
  <c r="O154" i="3" s="1"/>
  <c r="J277" i="3"/>
  <c r="O277" i="3" s="1"/>
  <c r="J301" i="3"/>
  <c r="O301" i="3" s="1"/>
  <c r="J320" i="3"/>
  <c r="O320" i="3" s="1"/>
  <c r="J248" i="3"/>
  <c r="O248" i="3" s="1"/>
  <c r="J155" i="3"/>
  <c r="O155" i="3" s="1"/>
  <c r="J191" i="3"/>
  <c r="O191" i="3" s="1"/>
  <c r="J317" i="3"/>
  <c r="O317" i="3" s="1"/>
  <c r="J187" i="3"/>
  <c r="O187" i="3" s="1"/>
  <c r="J302" i="3"/>
  <c r="O302" i="3" s="1"/>
  <c r="J255" i="3"/>
  <c r="O255" i="3" s="1"/>
  <c r="J286" i="3"/>
  <c r="O286" i="3" s="1"/>
  <c r="J243" i="3"/>
  <c r="O243" i="3" s="1"/>
  <c r="J117" i="3"/>
  <c r="O117" i="3" s="1"/>
  <c r="J82" i="3"/>
  <c r="O82" i="3" s="1"/>
  <c r="J283" i="3"/>
  <c r="O283" i="3" s="1"/>
  <c r="J169" i="3"/>
  <c r="O169" i="3" s="1"/>
  <c r="J71" i="3"/>
  <c r="O71" i="3" s="1"/>
  <c r="J18" i="3"/>
  <c r="O18" i="3" s="1"/>
  <c r="J74" i="3"/>
  <c r="O74" i="3" s="1"/>
  <c r="J253" i="3"/>
  <c r="O253" i="3" s="1"/>
  <c r="J290" i="3"/>
  <c r="O290" i="3" s="1"/>
  <c r="J229" i="3"/>
  <c r="O229" i="3" s="1"/>
  <c r="J200" i="3"/>
  <c r="O200" i="3" s="1"/>
  <c r="J296" i="3"/>
  <c r="O296" i="3" s="1"/>
  <c r="J78" i="3"/>
  <c r="O78" i="3" s="1"/>
  <c r="J316" i="3"/>
  <c r="O316" i="3" s="1"/>
  <c r="J96" i="3"/>
  <c r="O96" i="3" s="1"/>
  <c r="J165" i="3"/>
  <c r="O165" i="3" s="1"/>
  <c r="J180" i="3"/>
  <c r="O180" i="3" s="1"/>
  <c r="J15" i="3"/>
  <c r="O15" i="3" s="1"/>
  <c r="J39" i="3"/>
  <c r="O39" i="3" s="1"/>
  <c r="J148" i="3"/>
  <c r="O148" i="3" s="1"/>
  <c r="J293" i="3"/>
  <c r="O293" i="3" s="1"/>
  <c r="J115" i="3"/>
  <c r="O115" i="3" s="1"/>
  <c r="J127" i="3"/>
  <c r="O127" i="3" s="1"/>
  <c r="J237" i="3"/>
  <c r="O237" i="3" s="1"/>
  <c r="J216" i="3"/>
  <c r="O216" i="3" s="1"/>
  <c r="J8" i="3"/>
  <c r="O8" i="3" s="1"/>
  <c r="J219" i="3"/>
  <c r="O219" i="3" s="1"/>
  <c r="J202" i="3"/>
  <c r="O202" i="3" s="1"/>
  <c r="J284" i="3"/>
  <c r="O284" i="3" s="1"/>
  <c r="J63" i="3"/>
  <c r="O63" i="3" s="1"/>
  <c r="J270" i="3"/>
  <c r="O270" i="3" s="1"/>
  <c r="J81" i="3"/>
  <c r="O81" i="3" s="1"/>
  <c r="J312" i="3"/>
  <c r="O312" i="3" s="1"/>
  <c r="J227" i="3"/>
  <c r="O227" i="3" s="1"/>
  <c r="J318" i="3"/>
  <c r="O318" i="3" s="1"/>
  <c r="J266" i="3"/>
  <c r="O266" i="3" s="1"/>
  <c r="J267" i="3"/>
  <c r="O267" i="3" s="1"/>
  <c r="J13" i="3"/>
  <c r="O13" i="3" s="1"/>
  <c r="J77" i="3"/>
  <c r="O77" i="3" s="1"/>
  <c r="J93" i="3"/>
  <c r="O93" i="3" s="1"/>
  <c r="J14" i="3"/>
  <c r="O14" i="3" s="1"/>
  <c r="J244" i="3"/>
  <c r="O244" i="3" s="1"/>
  <c r="J64" i="3"/>
  <c r="O64" i="3" s="1"/>
  <c r="J87" i="3"/>
  <c r="O87" i="3" s="1"/>
  <c r="J314" i="3"/>
  <c r="O314" i="3" s="1"/>
  <c r="J321" i="3"/>
  <c r="O321" i="3" s="1"/>
  <c r="J49" i="3"/>
  <c r="O49" i="3" s="1"/>
  <c r="J83" i="3"/>
  <c r="O83" i="3" s="1"/>
  <c r="J179" i="3"/>
  <c r="O179" i="3" s="1"/>
  <c r="J67" i="3"/>
  <c r="O67" i="3" s="1"/>
  <c r="J194" i="3"/>
  <c r="O194" i="3" s="1"/>
  <c r="J308" i="3"/>
  <c r="O308" i="3" s="1"/>
  <c r="J29" i="3"/>
  <c r="O29" i="3" s="1"/>
  <c r="J65" i="3"/>
  <c r="O65" i="3" s="1"/>
  <c r="J57" i="3"/>
  <c r="O57" i="3" s="1"/>
  <c r="J324" i="3"/>
  <c r="O324" i="3" s="1"/>
  <c r="J174" i="3"/>
  <c r="O174" i="3" s="1"/>
  <c r="J124" i="3"/>
  <c r="O124" i="3" s="1"/>
  <c r="J44" i="3"/>
  <c r="O44" i="3" s="1"/>
  <c r="J260" i="3"/>
  <c r="O260" i="3" s="1"/>
  <c r="J10" i="3"/>
  <c r="O10" i="3" s="1"/>
  <c r="J30" i="3"/>
  <c r="O30" i="3" s="1"/>
  <c r="J98" i="3"/>
  <c r="O98" i="3" s="1"/>
  <c r="J122" i="3"/>
  <c r="O122" i="3" s="1"/>
  <c r="J162" i="3"/>
  <c r="O162" i="3" s="1"/>
  <c r="J264" i="3"/>
  <c r="O264" i="3" s="1"/>
  <c r="J249" i="3"/>
  <c r="O249" i="3" s="1"/>
  <c r="J146" i="3"/>
  <c r="O146" i="3" s="1"/>
  <c r="J226" i="3"/>
  <c r="O226" i="3" s="1"/>
  <c r="J326" i="3"/>
  <c r="O326" i="3" s="1"/>
  <c r="J230" i="3"/>
  <c r="O230" i="3" s="1"/>
  <c r="J323" i="3"/>
  <c r="O323" i="3" s="1"/>
  <c r="J231" i="3"/>
  <c r="O231" i="3" s="1"/>
  <c r="J241" i="3"/>
  <c r="O241" i="3" s="1"/>
  <c r="J245" i="3"/>
  <c r="O245" i="3" s="1"/>
  <c r="J145" i="3"/>
  <c r="O145" i="3" s="1"/>
  <c r="J199" i="3"/>
  <c r="O199" i="3" s="1"/>
  <c r="J220" i="3"/>
  <c r="O220" i="3" s="1"/>
  <c r="J16" i="3"/>
  <c r="O16" i="3" s="1"/>
  <c r="J297" i="3"/>
  <c r="O297" i="3" s="1"/>
  <c r="J61" i="3"/>
  <c r="O61" i="3" s="1"/>
  <c r="J150" i="3"/>
  <c r="O150" i="3" s="1"/>
  <c r="J213" i="3"/>
  <c r="O213" i="3" s="1"/>
  <c r="J252" i="3"/>
  <c r="O252" i="3" s="1"/>
  <c r="J309" i="3"/>
  <c r="O309" i="3" s="1"/>
  <c r="J281" i="3"/>
  <c r="O281" i="3" s="1"/>
  <c r="J59" i="3"/>
  <c r="O59" i="3" s="1"/>
  <c r="J238" i="3"/>
  <c r="O238" i="3" s="1"/>
  <c r="J151" i="3"/>
  <c r="O151" i="3" s="1"/>
  <c r="J27" i="3"/>
  <c r="O27" i="3" s="1"/>
  <c r="J45" i="3"/>
  <c r="O45" i="3" s="1"/>
  <c r="J111" i="3"/>
  <c r="O111" i="3" s="1"/>
  <c r="J327" i="3"/>
  <c r="O327" i="3" s="1"/>
  <c r="J156" i="3"/>
  <c r="O156" i="3" s="1"/>
  <c r="J106" i="3"/>
  <c r="O106" i="3" s="1"/>
  <c r="J135" i="3"/>
  <c r="O135" i="3" s="1"/>
  <c r="J11" i="3"/>
  <c r="O11" i="3" s="1"/>
  <c r="J118" i="3"/>
  <c r="O118" i="3" s="1"/>
  <c r="J271" i="3"/>
  <c r="O271" i="3" s="1"/>
  <c r="J235" i="3"/>
  <c r="O235" i="3" s="1"/>
  <c r="J20" i="3"/>
  <c r="O20" i="3" s="1"/>
  <c r="J175" i="3"/>
  <c r="O175" i="3" s="1"/>
  <c r="J75" i="3"/>
  <c r="O75" i="3" s="1"/>
  <c r="J206" i="3"/>
  <c r="O206" i="3" s="1"/>
  <c r="J234" i="3"/>
  <c r="O234" i="3" s="1"/>
  <c r="J239" i="3"/>
  <c r="O239" i="3" s="1"/>
  <c r="J291" i="3"/>
  <c r="O291" i="3" s="1"/>
  <c r="J315" i="3"/>
  <c r="O315" i="3" s="1"/>
  <c r="J265" i="3"/>
  <c r="O265" i="3" s="1"/>
  <c r="J69" i="3"/>
  <c r="O69" i="3" s="1"/>
  <c r="J86" i="3"/>
  <c r="O86" i="3" s="1"/>
  <c r="J72" i="3"/>
  <c r="O72" i="3" s="1"/>
  <c r="J50" i="3"/>
  <c r="O50" i="3" s="1"/>
  <c r="J189" i="3"/>
  <c r="O189" i="3" s="1"/>
  <c r="J205" i="3"/>
  <c r="O205" i="3" s="1"/>
  <c r="J113" i="3"/>
  <c r="O113" i="3" s="1"/>
  <c r="J269" i="3"/>
  <c r="O269" i="3" s="1"/>
  <c r="J120" i="3"/>
  <c r="O120" i="3" s="1"/>
  <c r="J228" i="3"/>
  <c r="O228" i="3" s="1"/>
  <c r="J91" i="3"/>
  <c r="O91" i="3" s="1"/>
  <c r="J94" i="3"/>
  <c r="O94" i="3" s="1"/>
  <c r="J196" i="3"/>
  <c r="O196" i="3" s="1"/>
  <c r="J131" i="3"/>
  <c r="O131" i="3" s="1"/>
  <c r="J90" i="3"/>
  <c r="O90" i="3" s="1"/>
  <c r="J186" i="3"/>
  <c r="O186" i="3" s="1"/>
  <c r="J198" i="3"/>
  <c r="O198" i="3" s="1"/>
  <c r="J210" i="3"/>
  <c r="O210" i="3" s="1"/>
  <c r="J222" i="3"/>
  <c r="O222" i="3" s="1"/>
  <c r="J22" i="3"/>
  <c r="O22" i="3" s="1"/>
  <c r="J158" i="3"/>
  <c r="O158" i="3" s="1"/>
  <c r="J322" i="3"/>
  <c r="O322" i="3" s="1"/>
  <c r="J274" i="3"/>
  <c r="O274" i="3" s="1"/>
  <c r="J185" i="3"/>
  <c r="O185" i="3" s="1"/>
  <c r="J53" i="3"/>
  <c r="O53" i="3" s="1"/>
  <c r="J133" i="3"/>
  <c r="O133" i="3" s="1"/>
  <c r="J132" i="3"/>
  <c r="O132" i="3" s="1"/>
  <c r="J176" i="3"/>
  <c r="O176" i="3" s="1"/>
  <c r="J236" i="3"/>
  <c r="O236" i="3" s="1"/>
  <c r="J272" i="3"/>
  <c r="O272" i="3" s="1"/>
  <c r="J298" i="3"/>
  <c r="O298" i="3" s="1"/>
  <c r="J68" i="3"/>
  <c r="O68" i="3" s="1"/>
  <c r="J92" i="3"/>
  <c r="O92" i="3" s="1"/>
  <c r="J116" i="3"/>
  <c r="O116" i="3" s="1"/>
  <c r="J160" i="3"/>
  <c r="O160" i="3" s="1"/>
  <c r="J294" i="3"/>
  <c r="O294" i="3" s="1"/>
  <c r="J261" i="3"/>
  <c r="O261" i="3" s="1"/>
  <c r="J300" i="3"/>
  <c r="O300" i="3" s="1"/>
  <c r="J66" i="3"/>
  <c r="O66" i="3" s="1"/>
  <c r="J258" i="3"/>
  <c r="O258" i="3" s="1"/>
  <c r="J31" i="3"/>
  <c r="O31" i="3" s="1"/>
  <c r="J183" i="3"/>
  <c r="O183" i="3" s="1"/>
  <c r="J276" i="3"/>
  <c r="O276" i="3" s="1"/>
  <c r="J240" i="3"/>
  <c r="O240" i="3" s="1"/>
  <c r="J159" i="3"/>
  <c r="O159" i="3" s="1"/>
  <c r="J34" i="3"/>
  <c r="O34" i="3" s="1"/>
  <c r="J170" i="3"/>
  <c r="O170" i="3" s="1"/>
  <c r="J299" i="3"/>
  <c r="O299" i="3" s="1"/>
  <c r="J207" i="3"/>
  <c r="O207" i="3" s="1"/>
  <c r="J215" i="3"/>
  <c r="O215" i="3" s="1"/>
  <c r="J225" i="3"/>
  <c r="O225" i="3" s="1"/>
  <c r="J149" i="3"/>
  <c r="O149" i="3" s="1"/>
  <c r="J58" i="3"/>
  <c r="O58" i="3" s="1"/>
  <c r="J325" i="3"/>
  <c r="O325" i="3" s="1"/>
  <c r="J184" i="3"/>
  <c r="O184" i="3" s="1"/>
  <c r="J161" i="3"/>
  <c r="O161" i="3" s="1"/>
  <c r="J311" i="3"/>
  <c r="O311" i="3" s="1"/>
  <c r="J105" i="3"/>
  <c r="O105" i="3" s="1"/>
  <c r="J273" i="3"/>
  <c r="O273" i="3" s="1"/>
  <c r="J21" i="3"/>
  <c r="O21" i="3" s="1"/>
  <c r="J246" i="3"/>
  <c r="O246" i="3" s="1"/>
  <c r="J41" i="3"/>
  <c r="O41" i="3" s="1"/>
  <c r="J95" i="3"/>
  <c r="O95" i="3" s="1"/>
  <c r="J33" i="3"/>
  <c r="O33" i="3" s="1"/>
  <c r="J108" i="3"/>
  <c r="O108" i="3" s="1"/>
  <c r="J48" i="3"/>
  <c r="O48" i="3" s="1"/>
  <c r="J204" i="3"/>
  <c r="O204" i="3" s="1"/>
  <c r="J328" i="3"/>
  <c r="O328" i="3" s="1"/>
  <c r="J7" i="3"/>
  <c r="O7" i="3" s="1"/>
  <c r="J329" i="3"/>
  <c r="O329" i="3" s="1"/>
  <c r="J209" i="3"/>
  <c r="O209" i="3" s="1"/>
  <c r="J107" i="3"/>
  <c r="O107" i="3" s="1"/>
  <c r="J193" i="3"/>
  <c r="O193" i="3" s="1"/>
  <c r="J221" i="3"/>
  <c r="O221" i="3" s="1"/>
  <c r="J40" i="3"/>
  <c r="O40" i="3" s="1"/>
  <c r="J295" i="3"/>
  <c r="O295" i="3" s="1"/>
  <c r="J38" i="3"/>
  <c r="O38" i="3" s="1"/>
  <c r="J287" i="3"/>
  <c r="O287" i="3" s="1"/>
  <c r="J262" i="3"/>
  <c r="O262" i="3" s="1"/>
  <c r="J259" i="3"/>
  <c r="O259" i="3" s="1"/>
  <c r="J313" i="3"/>
  <c r="O313" i="3" s="1"/>
  <c r="J101" i="3"/>
  <c r="O101" i="3" s="1"/>
  <c r="J25" i="3"/>
  <c r="O25" i="3" s="1"/>
  <c r="J134" i="3"/>
  <c r="O134" i="3" s="1"/>
  <c r="J232" i="3"/>
  <c r="O232" i="3" s="1"/>
  <c r="J73" i="3"/>
  <c r="O73" i="3" s="1"/>
  <c r="J285" i="3"/>
  <c r="O285" i="3" s="1"/>
  <c r="J109" i="3"/>
  <c r="O109" i="3" s="1"/>
  <c r="J17" i="3"/>
  <c r="O17" i="3" s="1"/>
  <c r="J89" i="3"/>
  <c r="O89" i="3" s="1"/>
  <c r="J100" i="3"/>
  <c r="O100" i="3" s="1"/>
  <c r="J99" i="3"/>
  <c r="O99" i="3" s="1"/>
  <c r="J147" i="3"/>
  <c r="O147" i="3" s="1"/>
  <c r="J23" i="3"/>
  <c r="O23" i="3" s="1"/>
  <c r="J12" i="3"/>
  <c r="O12" i="3" s="1"/>
  <c r="J60" i="3"/>
  <c r="O60" i="3" s="1"/>
  <c r="J84" i="3"/>
  <c r="O84" i="3" s="1"/>
  <c r="J168" i="3"/>
  <c r="O168" i="3" s="1"/>
  <c r="J192" i="3"/>
  <c r="O192" i="3" s="1"/>
  <c r="J288" i="3"/>
  <c r="O288" i="3" s="1"/>
  <c r="J212" i="3"/>
  <c r="O212" i="3" s="1"/>
  <c r="J268" i="3"/>
  <c r="O268" i="3" s="1"/>
  <c r="J28" i="3"/>
  <c r="O28" i="3" s="1"/>
  <c r="J88" i="3"/>
  <c r="O88" i="3" s="1"/>
  <c r="J119" i="3"/>
  <c r="O119" i="3" s="1"/>
  <c r="J167" i="3"/>
  <c r="O167" i="3" s="1"/>
  <c r="J143" i="3"/>
  <c r="O143" i="3" s="1"/>
  <c r="J208" i="3"/>
  <c r="O208" i="3" s="1"/>
  <c r="J218" i="3"/>
  <c r="O218" i="3" s="1"/>
  <c r="J114" i="3"/>
  <c r="O114" i="3" s="1"/>
  <c r="J166" i="3"/>
  <c r="O166" i="3" s="1"/>
  <c r="J310" i="3"/>
  <c r="O310" i="3" s="1"/>
  <c r="J254" i="3"/>
  <c r="O254" i="3" s="1"/>
  <c r="J305" i="3"/>
  <c r="O305" i="3" s="1"/>
  <c r="J110" i="3"/>
  <c r="O110" i="3" s="1"/>
  <c r="J278" i="3"/>
  <c r="O278" i="3" s="1"/>
  <c r="J130" i="3"/>
  <c r="O130" i="3" s="1"/>
  <c r="J173" i="3"/>
  <c r="O173" i="3" s="1"/>
  <c r="J307" i="3"/>
  <c r="O307" i="3" s="1"/>
  <c r="J177" i="3"/>
  <c r="O177" i="3" s="1"/>
  <c r="J97" i="3"/>
  <c r="O97" i="3" s="1"/>
  <c r="J54" i="3"/>
  <c r="O54" i="3" s="1"/>
  <c r="J141" i="3"/>
  <c r="O141" i="3" s="1"/>
  <c r="J123" i="3"/>
  <c r="O123" i="3" s="1"/>
  <c r="J163" i="3"/>
  <c r="O163" i="3" s="1"/>
  <c r="J35" i="3"/>
  <c r="O35" i="3" s="1"/>
  <c r="J47" i="3"/>
  <c r="O47" i="3" s="1"/>
  <c r="J172" i="3"/>
  <c r="O172" i="3" s="1"/>
  <c r="J182" i="3"/>
  <c r="O182" i="3" s="1"/>
  <c r="J279" i="3"/>
  <c r="O279" i="3" s="1"/>
  <c r="J203" i="3"/>
  <c r="O203" i="3" s="1"/>
  <c r="J62" i="3"/>
  <c r="O62" i="3" s="1"/>
  <c r="J257" i="3"/>
  <c r="O257" i="3" s="1"/>
  <c r="J70" i="3"/>
  <c r="O70" i="3" s="1"/>
  <c r="J275" i="3"/>
  <c r="O275" i="3" s="1"/>
  <c r="J306" i="3"/>
  <c r="O306" i="3" s="1"/>
  <c r="J242" i="3"/>
  <c r="O242" i="3" s="1"/>
  <c r="J247" i="3"/>
  <c r="O247" i="3" s="1"/>
  <c r="J195" i="3"/>
  <c r="O195" i="3" s="1"/>
  <c r="J250" i="3"/>
  <c r="O250" i="3" s="1"/>
  <c r="J223" i="3"/>
  <c r="O223" i="3" s="1"/>
  <c r="J152" i="3"/>
  <c r="O152" i="3" s="1"/>
  <c r="J224" i="3"/>
  <c r="O224" i="3" s="1"/>
  <c r="J137" i="3"/>
  <c r="O137" i="3" s="1"/>
  <c r="J80" i="3"/>
  <c r="O80" i="3" s="1"/>
  <c r="J128" i="3"/>
  <c r="O128" i="3" s="1"/>
  <c r="J164" i="3"/>
  <c r="O164" i="3" s="1"/>
  <c r="J256" i="3"/>
  <c r="O256" i="3" s="1"/>
  <c r="J201" i="3"/>
  <c r="O201" i="3" s="1"/>
  <c r="J129" i="3"/>
  <c r="O129" i="3" s="1"/>
  <c r="J144" i="3"/>
  <c r="O144" i="3" s="1"/>
  <c r="J157" i="3"/>
  <c r="O157" i="3" s="1"/>
  <c r="J263" i="3"/>
  <c r="O263" i="3" s="1"/>
  <c r="J19" i="3"/>
  <c r="O19" i="3" s="1"/>
  <c r="J139" i="3"/>
  <c r="O139" i="3" s="1"/>
  <c r="J32" i="3"/>
  <c r="O32" i="3" s="1"/>
  <c r="J103" i="3"/>
  <c r="O103" i="3" s="1"/>
  <c r="J79" i="3"/>
  <c r="O79" i="3" s="1"/>
  <c r="J171" i="3"/>
  <c r="O171" i="3" s="1"/>
  <c r="J24" i="3"/>
  <c r="O24" i="3" s="1"/>
  <c r="J36" i="3"/>
  <c r="O36" i="3" s="1"/>
  <c r="J51" i="3"/>
  <c r="O51" i="3" s="1"/>
  <c r="J136" i="3"/>
  <c r="O136" i="3" s="1"/>
  <c r="J76" i="3"/>
  <c r="O76" i="3" s="1"/>
  <c r="J112" i="3"/>
  <c r="O112" i="3" s="1"/>
  <c r="J52" i="3"/>
  <c r="O52" i="3" s="1"/>
  <c r="J217" i="3"/>
  <c r="O217" i="3" s="1"/>
  <c r="J280" i="3"/>
  <c r="O280" i="3" s="1"/>
  <c r="J55" i="3"/>
  <c r="O55" i="3" s="1"/>
  <c r="J104" i="3"/>
  <c r="O104" i="3" s="1"/>
  <c r="J233" i="3"/>
  <c r="O233" i="3" s="1"/>
  <c r="J85" i="3"/>
  <c r="O85" i="3" s="1"/>
  <c r="J125" i="3"/>
  <c r="O125" i="3" s="1"/>
  <c r="J153" i="3"/>
  <c r="O153" i="3" s="1"/>
  <c r="J211" i="3"/>
  <c r="O211" i="3" s="1"/>
  <c r="J304" i="3"/>
  <c r="O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O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O26" i="3" s="1"/>
  <c r="B3" i="12"/>
  <c r="X6" i="3"/>
  <c r="Y6" i="3" s="1"/>
  <c r="U181" i="3"/>
  <c r="F181" i="3" s="1"/>
  <c r="J181" i="3" s="1"/>
  <c r="O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B18" i="10" s="1"/>
  <c r="D30" i="10" l="1"/>
  <c r="B30" i="10" s="1"/>
  <c r="N302" i="5"/>
  <c r="J331" i="2"/>
  <c r="J330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J331" i="3" l="1"/>
  <c r="O330" i="3"/>
  <c r="D12" i="12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<sst xmlns="http://schemas.openxmlformats.org/spreadsheetml/2006/main" count="9122" uniqueCount="1772">
  <si>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</si>
  <si>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</si>
  <si>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</si>
  <si>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</si>
  <si>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</si>
  <si>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</si>
  <si>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</si>
  <si>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</si>
  <si>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</si>
  <si>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</si>
  <si>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</si>
  <si>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</si>
  <si>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</si>
  <si>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</si>
  <si>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</si>
  <si>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</si>
  <si>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</si>
  <si>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</si>
  <si>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</si>
  <si>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</si>
  <si>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</si>
  <si>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</si>
  <si>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</si>
  <si>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</si>
  <si>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</si>
  <si>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</si>
  <si>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</si>
  <si>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</si>
  <si>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</si>
  <si>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</si>
  <si>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</si>
  <si>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</si>
  <si>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</si>
  <si>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</si>
  <si>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</si>
  <si>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</si>
  <si>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</si>
  <si>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</si>
  <si>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</si>
  <si>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</si>
  <si>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</si>
  <si>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</si>
  <si>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</si>
  <si>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</si>
  <si>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</si>
  <si>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</si>
  <si>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</si>
  <si>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</si>
  <si>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</si>
  <si>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</si>
  <si>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</si>
  <si>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</si>
  <si>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</si>
  <si>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</si>
  <si>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</si>
  <si>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</si>
  <si>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</si>
  <si>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</si>
  <si>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</si>
  <si>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</si>
  <si>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</si>
  <si>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</si>
  <si>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</si>
  <si>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</si>
  <si>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</si>
  <si>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</si>
  <si>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</si>
  <si>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</si>
  <si>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</si>
  <si>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</si>
  <si>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</si>
  <si>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</si>
  <si>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</si>
  <si>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</si>
  <si>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</si>
  <si>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</si>
  <si>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</si>
  <si>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</si>
  <si>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</si>
  <si>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</si>
  <si>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</si>
  <si>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</si>
  <si>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</si>
  <si>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</si>
  <si>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</si>
  <si>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</si>
  <si>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</si>
  <si>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</si>
  <si>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</si>
  <si>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</si>
  <si>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</si>
  <si>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</si>
  <si>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</si>
  <si>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</si>
  <si>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</si>
  <si>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</si>
  <si>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</si>
  <si>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</si>
  <si>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</si>
  <si>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</si>
  <si>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</si>
  <si>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</si>
  <si>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</si>
  <si>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</si>
  <si>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</si>
  <si>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</si>
  <si>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</si>
  <si>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</si>
  <si>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</si>
  <si>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</si>
  <si>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</si>
  <si>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</si>
  <si>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</si>
  <si>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</si>
  <si>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</si>
  <si>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</si>
  <si>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</si>
  <si>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</si>
  <si>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</si>
  <si>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</si>
  <si>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</si>
  <si>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</si>
  <si>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</si>
  <si>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</si>
  <si>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</si>
  <si>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</si>
  <si>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</si>
  <si>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</si>
  <si>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</si>
  <si>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</si>
  <si>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</si>
  <si>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</si>
  <si>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</si>
  <si>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</si>
  <si>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</si>
  <si>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</si>
  <si>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</si>
  <si>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</si>
  <si>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</si>
  <si>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</si>
  <si>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</si>
  <si>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</si>
  <si>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</si>
  <si>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</si>
  <si>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</si>
  <si>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</si>
  <si>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</si>
  <si>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</si>
  <si>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</si>
  <si>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</si>
  <si>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</si>
  <si>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</si>
  <si>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</si>
  <si>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</si>
  <si>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</si>
  <si>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</si>
  <si>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</si>
  <si>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</si>
  <si>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</si>
  <si>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</si>
  <si>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</si>
  <si>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</si>
  <si>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</si>
  <si>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</si>
  <si>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</si>
  <si>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</si>
  <si>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</si>
  <si>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</si>
  <si>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</si>
  <si>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</si>
  <si>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</si>
  <si>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</si>
  <si>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</si>
  <si>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</si>
  <si>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</si>
  <si>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</si>
  <si>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</si>
  <si>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</si>
  <si>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</si>
  <si>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</si>
  <si>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</si>
  <si>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</si>
  <si>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</si>
  <si>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</si>
  <si>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</si>
  <si>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</si>
  <si>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</si>
  <si>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</si>
  <si>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</si>
  <si>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</si>
  <si>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</si>
  <si>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</si>
  <si>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</si>
  <si>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</si>
  <si>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</si>
  <si>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</si>
  <si>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</si>
  <si>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</si>
  <si>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</si>
  <si>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</si>
  <si>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</si>
  <si>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</si>
  <si>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</si>
  <si>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</si>
  <si>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</si>
  <si>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</si>
  <si>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</si>
  <si>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</si>
  <si>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</si>
  <si>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</si>
  <si>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</si>
  <si>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</si>
  <si>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</si>
  <si>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</si>
  <si>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</si>
  <si>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</si>
  <si>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</si>
  <si>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</si>
  <si>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</si>
  <si>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</si>
  <si>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</si>
  <si>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</si>
  <si>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</si>
  <si>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</si>
  <si>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</si>
  <si>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</si>
  <si>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</si>
  <si>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</si>
  <si>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</si>
  <si>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</si>
  <si>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</si>
  <si>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</si>
  <si>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</si>
  <si>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</si>
  <si>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</si>
  <si>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</si>
  <si>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</si>
  <si>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</si>
  <si>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</si>
  <si>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</si>
  <si>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</si>
  <si>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</si>
  <si>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</si>
  <si>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</si>
  <si>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</si>
  <si>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</si>
  <si>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</si>
  <si>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</si>
  <si>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</si>
  <si>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</si>
  <si>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</si>
  <si>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</si>
  <si>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</si>
  <si>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</si>
  <si>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</si>
  <si>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</si>
  <si>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</si>
  <si>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</si>
  <si>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</si>
  <si>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</si>
  <si>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</si>
  <si>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</si>
  <si>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</si>
  <si>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</si>
  <si>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</si>
  <si>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</si>
  <si>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</si>
  <si>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</si>
  <si>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</si>
  <si>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</si>
  <si>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</si>
  <si>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</si>
  <si>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</si>
  <si>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</si>
  <si>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</si>
  <si>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</si>
  <si>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</si>
  <si>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</si>
  <si>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</si>
  <si>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</si>
  <si>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</si>
  <si>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</si>
  <si>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</si>
  <si>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</si>
  <si>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</si>
  <si>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</si>
  <si>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</si>
  <si>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</si>
  <si>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</si>
  <si>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</si>
  <si>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</si>
  <si>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</si>
  <si>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</si>
  <si>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</si>
  <si>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</si>
  <si>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</si>
  <si>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</si>
  <si>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</si>
  <si>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</si>
  <si>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</si>
  <si>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</si>
  <si>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</si>
  <si>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</si>
  <si>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</si>
  <si>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</si>
  <si>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</si>
  <si>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</si>
  <si>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</si>
  <si>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</si>
  <si>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</si>
  <si>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</si>
  <si>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</si>
  <si>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</si>
  <si>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</si>
  <si>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</si>
  <si>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</si>
  <si>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</si>
  <si>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</si>
  <si>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</si>
  <si>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</si>
  <si>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</si>
  <si>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</si>
  <si>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</si>
  <si>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</si>
  <si>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</si>
  <si>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</si>
  <si>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</si>
  <si>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</si>
  <si>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</si>
  <si>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</si>
  <si>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</si>
  <si>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</si>
  <si>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</si>
  <si>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</si>
  <si>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</si>
  <si>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</si>
  <si>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</si>
  <si>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</si>
  <si>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</si>
  <si>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</si>
  <si>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</si>
  <si>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</si>
  <si>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</si>
  <si>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</si>
  <si>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</si>
  <si>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</si>
  <si>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</si>
  <si>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</si>
  <si>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</si>
  <si>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</si>
  <si>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</si>
  <si>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</si>
  <si>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</si>
  <si>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</si>
  <si>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</si>
  <si>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</si>
  <si>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</si>
  <si>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</si>
  <si>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</si>
  <si>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</si>
  <si>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</si>
  <si>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</si>
  <si>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</si>
  <si>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</si>
  <si>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</si>
  <si>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</si>
  <si>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</si>
  <si>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</si>
  <si>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</si>
  <si>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</si>
  <si>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</si>
  <si>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</si>
  <si>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</si>
  <si>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</si>
  <si>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</si>
  <si>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</si>
  <si>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</si>
  <si>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</si>
  <si>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</si>
  <si>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</si>
  <si>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</si>
  <si>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</si>
  <si>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</si>
  <si>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</si>
  <si>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</si>
  <si>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</si>
  <si>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</si>
  <si>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</si>
  <si>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</si>
  <si>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</si>
  <si>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</si>
  <si>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</si>
  <si>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</si>
  <si>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</si>
  <si>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</si>
  <si>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</si>
  <si>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</si>
  <si>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</si>
  <si>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</si>
  <si>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</si>
  <si>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</si>
  <si>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</si>
  <si>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</si>
  <si>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</si>
  <si>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</si>
  <si>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</si>
  <si>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</si>
  <si>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</si>
  <si>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</si>
  <si>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</si>
  <si>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</si>
  <si>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</si>
  <si>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</si>
  <si>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</si>
  <si>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</si>
  <si>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</si>
  <si>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</si>
  <si>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</si>
  <si>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</si>
  <si>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</si>
  <si>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</si>
  <si>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</si>
  <si>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</si>
  <si>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</si>
  <si>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</si>
  <si>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</si>
  <si>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</si>
  <si>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</si>
  <si>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</si>
  <si>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</si>
  <si>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</si>
  <si>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</si>
  <si>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</si>
  <si>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</si>
  <si>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</si>
  <si>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</si>
  <si>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</si>
  <si>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</si>
  <si>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</si>
  <si>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</si>
  <si>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</si>
  <si>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</si>
  <si>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</si>
  <si>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</si>
  <si>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</si>
  <si>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</si>
  <si>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</si>
  <si>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</si>
  <si>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</si>
  <si>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</si>
  <si>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</si>
  <si>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</si>
  <si>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</si>
  <si>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</si>
  <si>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</si>
  <si>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</si>
  <si>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</si>
  <si>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</si>
  <si>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</si>
  <si>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</si>
  <si>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</si>
  <si>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</si>
  <si>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</si>
  <si>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</si>
  <si>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</si>
  <si>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</si>
  <si>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</si>
  <si>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</si>
  <si>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</si>
  <si>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</si>
  <si>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</si>
  <si>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</si>
  <si>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</si>
  <si>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</si>
  <si>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</si>
  <si>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</si>
  <si>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</si>
  <si>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</si>
  <si>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</si>
  <si>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</si>
  <si>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</si>
  <si>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</si>
  <si>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</si>
  <si>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</si>
  <si>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</si>
  <si>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</si>
  <si>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</si>
  <si>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</si>
  <si>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</si>
  <si>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</si>
  <si>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</si>
  <si>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</si>
  <si>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</si>
  <si>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</si>
  <si>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</si>
  <si>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</si>
  <si>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</si>
  <si>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</si>
  <si>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</si>
  <si>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</si>
  <si>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</si>
  <si>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</si>
  <si>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</si>
  <si>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</si>
  <si>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</si>
  <si>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</si>
  <si>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</si>
  <si>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</si>
  <si>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</si>
  <si>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</si>
  <si>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</si>
  <si>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</si>
  <si>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</si>
  <si>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</si>
  <si>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</si>
  <si>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</si>
  <si>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</si>
  <si>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</si>
  <si>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</si>
  <si>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</si>
  <si>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</si>
  <si>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</si>
  <si>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</si>
  <si>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</si>
  <si>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</si>
  <si>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</si>
  <si>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</si>
  <si>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</si>
  <si>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</si>
  <si>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</si>
  <si>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</si>
  <si>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</si>
  <si>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</si>
  <si>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</si>
  <si>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</si>
  <si>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</si>
  <si>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</si>
  <si>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</si>
  <si>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</si>
  <si>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</si>
  <si>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</si>
  <si>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</si>
  <si>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</si>
  <si>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</si>
  <si>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</si>
  <si>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</si>
  <si>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</si>
  <si>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</si>
  <si>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</si>
  <si>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</si>
  <si>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</si>
  <si>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</si>
  <si>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</si>
  <si>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</si>
  <si>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</si>
  <si>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</si>
  <si>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</si>
  <si>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</si>
  <si>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</si>
  <si>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</si>
  <si>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</si>
  <si>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</si>
  <si>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</si>
  <si>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</si>
  <si>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</si>
  <si>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</si>
  <si>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</si>
  <si>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</si>
  <si>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</si>
  <si>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</si>
  <si>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</si>
  <si>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</si>
  <si>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</si>
  <si>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</si>
  <si>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</si>
  <si>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</si>
  <si>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</si>
  <si>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</si>
  <si>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</si>
  <si>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</si>
  <si>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</si>
  <si>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</si>
  <si>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</si>
  <si>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</si>
  <si>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</si>
  <si>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</si>
  <si>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</si>
  <si>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</si>
  <si>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</si>
  <si>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</si>
  <si>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</si>
  <si>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</si>
  <si>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</si>
  <si>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</si>
  <si>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</si>
  <si>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</si>
  <si>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</si>
  <si>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</si>
  <si>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</si>
  <si>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</si>
  <si>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</si>
  <si>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</si>
  <si>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</si>
  <si>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</si>
  <si>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</si>
  <si>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</si>
  <si>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</si>
  <si>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</si>
  <si>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</si>
  <si>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</si>
  <si>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</si>
  <si>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</si>
  <si>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</si>
  <si>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</si>
  <si>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</si>
  <si>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</si>
  <si>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</si>
  <si>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</si>
  <si>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</si>
  <si>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</si>
  <si>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</si>
  <si>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</si>
  <si>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</si>
  <si>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</si>
  <si>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</si>
  <si>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</si>
  <si>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</si>
  <si>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</si>
  <si>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</si>
  <si>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</si>
  <si>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</si>
  <si>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</si>
  <si>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</si>
  <si>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</si>
  <si>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</si>
  <si>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</si>
  <si>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</si>
  <si>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</si>
  <si>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</si>
  <si>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</si>
  <si>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</si>
  <si>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</si>
  <si>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</si>
  <si>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</si>
  <si>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</si>
  <si>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</si>
  <si>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</si>
  <si>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</si>
  <si>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</si>
  <si>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</si>
  <si>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</si>
  <si>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</si>
  <si>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</si>
  <si>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</si>
  <si>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</si>
  <si>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</si>
  <si>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</si>
  <si>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</si>
  <si>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</si>
  <si>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</si>
  <si>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</si>
  <si>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</si>
  <si>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</si>
  <si>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</si>
  <si>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</si>
  <si>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</si>
  <si>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</si>
  <si>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</si>
  <si>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</si>
  <si>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</si>
  <si>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</si>
  <si>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</si>
  <si>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</si>
  <si>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</si>
  <si>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</si>
  <si>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</si>
  <si>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</si>
  <si>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</si>
  <si>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</si>
  <si>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</si>
  <si>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</si>
  <si>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</si>
  <si>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</si>
  <si>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</si>
  <si>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</si>
  <si>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</si>
  <si>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</si>
  <si>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</si>
  <si>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</si>
  <si>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</si>
  <si>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</si>
  <si>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</si>
  <si>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</si>
  <si>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</si>
  <si>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</si>
  <si>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</si>
  <si>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</si>
  <si>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</si>
  <si>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</si>
  <si>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</si>
  <si>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</si>
  <si>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</si>
  <si>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</si>
  <si>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</si>
  <si>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</si>
  <si>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</si>
  <si>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</si>
  <si>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</si>
  <si>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</si>
  <si>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</si>
  <si>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</si>
  <si>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</si>
  <si>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</si>
  <si>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</si>
  <si>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</si>
  <si>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</si>
  <si>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</si>
  <si>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</si>
  <si>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</si>
  <si>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</si>
  <si>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</si>
  <si>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</si>
  <si>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</si>
  <si>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</si>
  <si>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</si>
  <si>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</si>
  <si>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</si>
  <si>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</si>
  <si>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</si>
  <si>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</si>
  <si>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</si>
  <si>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</si>
  <si>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</si>
  <si>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</si>
  <si>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</si>
  <si>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</si>
  <si>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</si>
  <si>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</si>
  <si>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</si>
  <si>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</si>
  <si>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</si>
  <si>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</si>
  <si>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</si>
  <si>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</si>
  <si>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</si>
  <si>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</si>
  <si>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</si>
  <si>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</si>
  <si>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</si>
  <si>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</si>
  <si>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</si>
  <si>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</si>
  <si>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</si>
  <si>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</si>
  <si>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</si>
  <si>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</si>
  <si>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</si>
  <si>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</si>
  <si>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</si>
  <si>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</si>
  <si>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</si>
  <si>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</si>
  <si>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</si>
  <si>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</si>
  <si>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</si>
  <si>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</si>
  <si>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</si>
  <si>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</si>
  <si>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</si>
  <si>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</si>
  <si>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</si>
  <si>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</si>
  <si>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</si>
  <si>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</si>
  <si>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</si>
  <si>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</si>
  <si>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</si>
  <si>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</si>
  <si>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</si>
  <si>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</si>
  <si>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</si>
  <si>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</si>
  <si>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</si>
  <si>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</si>
  <si>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</si>
  <si>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</si>
  <si>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</si>
  <si>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</si>
  <si>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</si>
  <si>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</si>
  <si>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</si>
  <si>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</si>
  <si>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</si>
  <si>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</si>
  <si>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</si>
  <si>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</si>
  <si>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</si>
  <si>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</si>
  <si>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</si>
  <si>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</si>
  <si>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</si>
  <si>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</si>
  <si>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</si>
  <si>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</si>
  <si>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</si>
  <si>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</si>
  <si>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</si>
  <si>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</si>
  <si>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</si>
  <si>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</si>
  <si>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</si>
  <si>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</si>
  <si>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</si>
  <si>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</si>
  <si>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</si>
  <si>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</si>
  <si>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</si>
  <si>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</si>
  <si>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</si>
  <si>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</si>
  <si>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</si>
  <si>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</si>
  <si>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</si>
  <si>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</si>
  <si>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</si>
  <si>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</si>
  <si>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</si>
  <si>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</si>
  <si>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</si>
  <si>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</si>
  <si>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</si>
  <si>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</si>
  <si>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</si>
  <si>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</si>
  <si>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</si>
  <si>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</si>
  <si>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</si>
  <si>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</si>
  <si>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</si>
  <si>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</si>
  <si>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</si>
  <si>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</si>
  <si>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</si>
  <si>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</si>
  <si>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</si>
  <si>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</si>
  <si>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</si>
  <si>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</si>
  <si>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</si>
  <si>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</si>
  <si>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</si>
  <si>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</si>
  <si>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</si>
  <si>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</si>
  <si>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</si>
  <si>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</si>
  <si>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</si>
  <si>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</si>
  <si>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</si>
  <si>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</si>
  <si>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</si>
  <si>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</si>
  <si>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</si>
  <si>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</si>
  <si>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</si>
  <si>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</si>
  <si>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</si>
  <si>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</si>
  <si>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</si>
  <si>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</si>
  <si>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</si>
  <si>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</si>
  <si>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</si>
  <si>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</si>
  <si>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</si>
  <si>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</si>
  <si>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</si>
  <si>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</si>
  <si>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</si>
  <si>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</si>
  <si>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</si>
  <si>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</si>
  <si>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</si>
  <si>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</si>
  <si>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</si>
  <si>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</si>
  <si>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</si>
  <si>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</si>
  <si>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</si>
  <si>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</si>
  <si>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</si>
  <si>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</si>
  <si>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</si>
  <si>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</si>
  <si>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</si>
  <si>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</si>
  <si>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</si>
  <si>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</si>
  <si>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</si>
  <si>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</si>
  <si>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</si>
  <si>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</si>
  <si>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</si>
  <si>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</si>
  <si>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</si>
  <si>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</si>
  <si>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</si>
  <si>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</si>
  <si>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</si>
  <si>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</si>
  <si>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</si>
  <si>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</si>
  <si>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</si>
  <si>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</si>
  <si>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</si>
  <si>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</si>
  <si>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</si>
  <si>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</si>
  <si>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</si>
  <si>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</si>
  <si>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</si>
  <si>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</si>
  <si>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</si>
  <si>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</si>
  <si>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</si>
  <si>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</si>
  <si>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</si>
  <si>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</si>
  <si>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</si>
  <si>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</si>
  <si>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</si>
  <si>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</si>
  <si>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</si>
  <si>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</si>
  <si>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</si>
  <si>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</si>
  <si>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</si>
  <si>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</si>
  <si>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</si>
  <si>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</si>
  <si>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</si>
  <si>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</si>
  <si>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</si>
  <si>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</si>
  <si>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</si>
  <si>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</si>
  <si>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</si>
  <si>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</si>
  <si>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</si>
  <si>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</si>
  <si>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</si>
  <si>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</si>
  <si>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</si>
  <si>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</si>
  <si>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</si>
  <si>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</si>
  <si>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</si>
  <si>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</si>
  <si>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</si>
  <si>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</si>
  <si>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</si>
  <si>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</si>
  <si>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</si>
  <si>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</si>
  <si>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</si>
  <si>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</si>
  <si>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</si>
  <si>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</si>
  <si>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</si>
  <si>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</si>
  <si>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</si>
  <si>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</si>
  <si>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</si>
  <si>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</si>
  <si>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</si>
  <si>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</si>
  <si>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</si>
  <si>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</si>
  <si>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</si>
  <si>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</si>
  <si>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</si>
  <si>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</si>
  <si>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</si>
  <si>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</si>
  <si>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</si>
  <si>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</si>
  <si>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</si>
  <si>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</si>
  <si>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</si>
  <si>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</si>
  <si>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</si>
  <si>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</si>
  <si>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</si>
  <si>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</si>
  <si>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</si>
  <si>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</si>
  <si>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</si>
  <si>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</si>
  <si>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</si>
  <si>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</si>
  <si>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</si>
  <si>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</si>
  <si>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</si>
  <si>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</si>
  <si>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</si>
  <si>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</si>
  <si>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</si>
  <si>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</si>
  <si>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</si>
  <si>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</si>
  <si>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</si>
  <si>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</si>
  <si>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</si>
  <si>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</si>
  <si>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</si>
  <si>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</si>
  <si>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</si>
  <si>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</si>
  <si>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</si>
  <si>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</si>
  <si>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</si>
  <si>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</si>
  <si>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</si>
  <si>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</si>
  <si>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</si>
  <si>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</si>
  <si>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</si>
  <si>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</si>
  <si>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</si>
  <si>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</si>
  <si>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</si>
  <si>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</si>
  <si>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</si>
  <si>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</si>
  <si>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</si>
  <si>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</si>
  <si>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</si>
  <si>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</si>
  <si>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</si>
  <si>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</si>
  <si>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</si>
  <si>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</si>
  <si>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</si>
  <si>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</si>
  <si>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</si>
  <si>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</si>
  <si>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</si>
  <si>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</si>
  <si>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</si>
  <si>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</si>
  <si>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</si>
  <si>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</si>
  <si>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</si>
  <si>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</si>
  <si>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</si>
  <si>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</si>
  <si>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</si>
  <si>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</si>
  <si>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</si>
  <si>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</si>
  <si>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</si>
  <si>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</si>
  <si>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</si>
  <si>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</si>
  <si>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</si>
  <si>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</si>
  <si>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</si>
  <si>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</si>
  <si>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</si>
  <si>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</si>
  <si>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</si>
  <si>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</si>
  <si>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</si>
  <si>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</si>
  <si>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</si>
  <si>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</si>
  <si>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</si>
  <si>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</si>
  <si>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</si>
  <si>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</si>
  <si>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</si>
  <si>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</si>
  <si>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</si>
  <si>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</si>
  <si>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</si>
  <si>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</si>
  <si>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</si>
  <si>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</si>
  <si>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</si>
  <si>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</si>
  <si>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</si>
  <si>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</si>
  <si>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</si>
  <si>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</si>
  <si>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</si>
  <si>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</si>
  <si>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</si>
  <si>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</si>
  <si>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</si>
  <si>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</si>
  <si>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</si>
  <si>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</si>
  <si>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</si>
  <si>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</si>
  <si>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</si>
  <si>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</si>
  <si>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</si>
  <si>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</si>
  <si>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</si>
  <si>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</si>
  <si>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</si>
  <si>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</si>
  <si>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</si>
  <si>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</si>
  <si>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</si>
  <si>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</si>
  <si>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</si>
  <si>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</si>
  <si>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</si>
  <si>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</si>
  <si>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</si>
  <si>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</si>
  <si>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</si>
  <si>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</si>
  <si>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</si>
  <si>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</si>
  <si>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</si>
  <si>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</si>
  <si>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</si>
  <si>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</si>
  <si>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</si>
  <si>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</si>
  <si>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</si>
  <si>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</si>
  <si>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</si>
  <si>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</si>
  <si>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</si>
  <si>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</si>
  <si>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</si>
  <si>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</si>
  <si>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</si>
  <si>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</si>
  <si>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</si>
  <si>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</si>
  <si>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</si>
  <si>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</si>
  <si>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</si>
  <si>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</si>
  <si>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</si>
  <si>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</si>
  <si>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</si>
  <si>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</si>
  <si>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</si>
  <si>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</si>
  <si>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</si>
  <si>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</si>
  <si>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</si>
  <si>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</si>
  <si>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</si>
  <si>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</si>
  <si>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</si>
  <si>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</si>
  <si>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</si>
  <si>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</si>
  <si>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</si>
  <si>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</si>
  <si>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</si>
  <si>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</si>
  <si>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</si>
  <si>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</si>
  <si>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</si>
  <si>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</si>
  <si>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</si>
  <si>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</si>
  <si>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</si>
  <si>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</si>
  <si>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</si>
  <si>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</si>
  <si>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</si>
  <si>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</si>
  <si>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</si>
  <si>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</si>
  <si>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</si>
  <si>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</si>
  <si>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</si>
  <si>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</si>
  <si>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</si>
  <si>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</si>
  <si>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</si>
  <si>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</si>
  <si>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</si>
  <si>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</si>
  <si>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</si>
  <si>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</si>
  <si>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</si>
  <si>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</si>
  <si>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</si>
  <si>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</si>
  <si>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</si>
  <si>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</si>
  <si>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</si>
  <si>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</si>
  <si>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</si>
  <si>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</si>
  <si>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</si>
  <si>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</si>
  <si>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</si>
  <si>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</si>
  <si>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</si>
  <si>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</si>
  <si>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</si>
  <si>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</si>
  <si>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</si>
  <si>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</si>
  <si>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</si>
  <si>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</si>
  <si>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</si>
  <si>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</si>
  <si>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</si>
  <si>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</si>
  <si>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</si>
  <si>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</si>
  <si>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</si>
  <si>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</si>
  <si>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</si>
  <si>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</si>
  <si>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</si>
  <si>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</si>
  <si>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</si>
  <si>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</si>
  <si>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</si>
  <si>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</si>
  <si>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</si>
  <si>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</si>
  <si>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</si>
  <si>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</si>
  <si>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</si>
  <si>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</si>
  <si>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</si>
  <si>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</si>
  <si>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</si>
  <si>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</si>
  <si>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</si>
  <si>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</si>
  <si>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</si>
  <si>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</si>
  <si>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</si>
  <si>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</si>
  <si>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</si>
  <si>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</si>
  <si>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</si>
  <si>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</si>
  <si>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</si>
  <si>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</si>
  <si>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</si>
  <si>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</si>
  <si>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</si>
  <si>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</si>
  <si>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</si>
  <si>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</si>
  <si>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</si>
  <si>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</si>
  <si>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</si>
  <si>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</si>
  <si>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</si>
  <si>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</si>
  <si>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</si>
  <si>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</si>
  <si>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</si>
  <si>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</si>
  <si>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</si>
  <si>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</si>
  <si>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</si>
  <si>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</si>
  <si>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</si>
  <si>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</si>
  <si>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</si>
  <si>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</si>
  <si>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</si>
  <si>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</si>
  <si>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</si>
  <si>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</si>
  <si>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</si>
  <si>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</si>
  <si>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</si>
  <si>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</si>
  <si>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</si>
  <si>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</si>
  <si>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</si>
  <si>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</si>
  <si>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</si>
  <si>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</si>
  <si>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</si>
  <si>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</si>
  <si>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</si>
  <si>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</si>
  <si>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</si>
  <si>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</si>
  <si>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</si>
  <si>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</si>
  <si>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</si>
  <si>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</si>
  <si>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</si>
  <si>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</si>
  <si>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</si>
  <si>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</si>
  <si>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</si>
  <si>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</si>
  <si>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</si>
  <si>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</si>
  <si>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</si>
  <si>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</si>
  <si>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</si>
  <si>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</si>
  <si>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</si>
  <si>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</si>
  <si>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</si>
  <si>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</si>
  <si>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</si>
  <si>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</si>
  <si>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</si>
  <si>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</si>
  <si>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</si>
  <si>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</si>
  <si>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</si>
  <si>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</si>
  <si>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</si>
  <si>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</si>
  <si>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</si>
  <si>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</si>
  <si>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</si>
  <si>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</si>
  <si>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</si>
  <si>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</si>
  <si>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</si>
  <si>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</si>
  <si>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</si>
  <si>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</si>
  <si>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</si>
  <si>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</si>
  <si>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</si>
  <si>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</si>
  <si>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</si>
  <si>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</si>
  <si>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</si>
  <si>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</si>
  <si>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</si>
  <si>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</si>
  <si>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</si>
  <si>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</si>
  <si>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</si>
  <si>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</si>
  <si>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</si>
  <si>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</si>
  <si>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</si>
  <si>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</si>
  <si>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</si>
  <si>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</si>
  <si>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</si>
  <si>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</si>
  <si>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</si>
  <si>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</si>
  <si>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</si>
  <si>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</si>
  <si>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</si>
  <si>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</si>
  <si>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</si>
  <si>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</si>
  <si>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</si>
  <si>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</si>
  <si>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</si>
  <si>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</si>
  <si>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</si>
  <si>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</si>
  <si>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</si>
  <si>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</si>
  <si>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</si>
  <si>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</si>
  <si>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</si>
  <si>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</si>
  <si>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</si>
  <si>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</si>
  <si>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</si>
  <si>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</si>
  <si>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</si>
  <si>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</si>
  <si>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</si>
  <si>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</si>
  <si>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</si>
  <si>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</si>
  <si>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</si>
  <si>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</si>
  <si>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</si>
  <si>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</si>
  <si>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</si>
  <si>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</si>
  <si>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</si>
  <si>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</si>
  <si>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</si>
  <si>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</si>
  <si>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</si>
  <si>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</si>
  <si>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</si>
  <si>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</si>
  <si>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</si>
  <si>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</si>
  <si>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</si>
  <si>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</si>
  <si>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</si>
  <si>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</si>
  <si>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</si>
  <si>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</si>
  <si>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</si>
  <si>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</si>
  <si>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</si>
  <si>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</si>
  <si>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</si>
  <si>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</si>
  <si>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</si>
  <si>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</si>
  <si>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</si>
  <si>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</si>
  <si>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</si>
  <si>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</si>
  <si>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</si>
  <si>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</si>
  <si>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</si>
  <si>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</si>
  <si>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</si>
  <si>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</si>
  <si>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</si>
  <si>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</si>
  <si>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</si>
  <si>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</si>
  <si>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</si>
  <si>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</si>
  <si>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</si>
  <si>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</si>
  <si>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</si>
  <si>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</si>
  <si>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</si>
  <si>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</si>
  <si>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</si>
  <si>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</si>
  <si>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</si>
  <si>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</si>
  <si>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</si>
  <si>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</si>
  <si>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</si>
  <si>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</si>
  <si>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</si>
  <si>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</si>
  <si>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</si>
  <si>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</si>
  <si>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</si>
  <si>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</si>
  <si>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</si>
  <si>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</si>
  <si>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</si>
  <si>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</si>
  <si>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</si>
  <si>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</si>
  <si>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</si>
  <si>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</si>
  <si>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</si>
  <si>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</si>
  <si>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</si>
  <si>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</si>
  <si>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</si>
  <si>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</si>
  <si>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</si>
  <si>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</si>
  <si>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</si>
  <si>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</si>
  <si>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</si>
  <si>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</si>
  <si>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</si>
  <si>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</si>
  <si>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</si>
  <si>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</si>
  <si>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</si>
  <si>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</si>
  <si>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</si>
  <si>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</si>
  <si>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</si>
  <si>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</si>
  <si>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</si>
  <si>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</si>
  <si>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</si>
  <si>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</si>
  <si>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</si>
  <si>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</si>
  <si>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</si>
  <si>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</si>
  <si>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</si>
  <si>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</si>
  <si>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</si>
  <si>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</si>
  <si>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</si>
  <si>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</si>
  <si>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</si>
  <si>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</si>
  <si>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</si>
  <si>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</si>
  <si>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</si>
  <si>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</si>
  <si>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</si>
  <si>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</si>
  <si>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</si>
  <si>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</si>
  <si>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</si>
  <si>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</si>
  <si>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</si>
  <si>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</si>
  <si>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</si>
  <si>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</si>
  <si>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</si>
  <si>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</si>
  <si>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</si>
  <si>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</si>
  <si>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</si>
  <si>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</si>
  <si>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</si>
  <si>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</si>
  <si>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</si>
  <si>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</si>
  <si>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</si>
  <si>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</si>
  <si>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</si>
  <si>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</si>
  <si>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</si>
  <si>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</si>
  <si>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</si>
  <si>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</si>
  <si>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</si>
  <si>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</si>
  <si>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</si>
  <si>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</si>
  <si>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</si>
  <si>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</si>
  <si>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</si>
  <si>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</si>
  <si>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</si>
  <si>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</si>
  <si>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</si>
  <si>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</si>
  <si>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</si>
  <si>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</si>
  <si>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</si>
  <si>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</si>
  <si>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</si>
  <si>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</si>
  <si>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</si>
  <si>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</si>
  <si>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</si>
  <si>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</si>
  <si>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</si>
  <si>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</si>
  <si>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</si>
  <si>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</si>
  <si>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</si>
  <si>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</si>
  <si>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</si>
  <si>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</si>
  <si>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</si>
  <si>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</si>
  <si>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</si>
  <si>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</si>
  <si>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</si>
  <si>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</si>
  <si>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</si>
  <si>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</si>
  <si>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</si>
  <si>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</si>
  <si>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</si>
  <si>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</si>
  <si>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</si>
  <si>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</si>
  <si>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</si>
  <si>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</si>
  <si>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</si>
  <si>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</si>
  <si>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</si>
  <si>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</si>
  <si>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</si>
  <si>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</si>
  <si>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</si>
  <si>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</si>
  <si>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</si>
  <si>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</si>
  <si>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</si>
  <si>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</si>
  <si>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</si>
  <si>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</si>
  <si>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</si>
  <si>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</si>
  <si>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</si>
  <si>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</si>
  <si>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</si>
  <si>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</si>
  <si>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</si>
  <si>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</si>
  <si>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</si>
  <si>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</si>
  <si>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</si>
  <si>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</si>
  <si>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</si>
  <si>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</si>
  <si>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</si>
  <si>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</si>
  <si>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</si>
  <si>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</si>
  <si>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</si>
  <si>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</si>
  <si>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</si>
  <si>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</si>
  <si>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</si>
  <si>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</si>
  <si>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</si>
  <si>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</si>
  <si>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</si>
  <si>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</si>
  <si>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</si>
  <si>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</si>
  <si>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</si>
  <si>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</si>
  <si>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</si>
  <si>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</si>
  <si>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</si>
  <si>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</si>
  <si>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</si>
  <si>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</si>
  <si>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</si>
  <si>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</si>
  <si>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</si>
  <si>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</si>
  <si>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</si>
  <si>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</si>
  <si>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</si>
  <si>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</si>
  <si>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</si>
  <si>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</si>
  <si>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</si>
  <si>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</si>
  <si>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</si>
  <si>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</si>
  <si>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</si>
  <si>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</si>
  <si>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</si>
  <si>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</si>
  <si>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</si>
  <si>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</si>
  <si>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</si>
  <si>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</si>
  <si>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</si>
  <si>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</si>
  <si>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</si>
  <si>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</si>
  <si>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</si>
  <si>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</si>
  <si>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</si>
  <si>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</si>
  <si>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</si>
  <si>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</si>
  <si>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</si>
  <si>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</si>
  <si>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</si>
  <si>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</si>
  <si>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</si>
  <si>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</si>
  <si>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</si>
  <si>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</si>
  <si>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</si>
  <si>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</si>
  <si>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</si>
  <si>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</si>
  <si>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</si>
  <si>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</si>
  <si>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</si>
  <si>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</si>
  <si>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</si>
  <si>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</si>
  <si>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</si>
  <si>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</si>
  <si>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</si>
  <si>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</si>
  <si>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</si>
  <si>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</si>
  <si>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</si>
  <si>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</si>
  <si>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</si>
  <si>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</si>
  <si>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</si>
  <si>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</si>
  <si>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</si>
  <si>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</si>
  <si>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</si>
  <si>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</si>
  <si>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</si>
  <si>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</si>
  <si>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</si>
  <si>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</si>
  <si>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</si>
  <si>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</si>
  <si>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</si>
  <si>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</si>
  <si>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</si>
  <si>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</si>
  <si>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</si>
  <si>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</si>
  <si>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</si>
  <si>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</si>
  <si>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</si>
  <si>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</si>
  <si>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</si>
  <si>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</si>
  <si>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</si>
  <si>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</si>
  <si>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</si>
  <si>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</si>
  <si>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</si>
  <si>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</si>
  <si>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</si>
  <si>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</si>
  <si>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</si>
  <si>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</si>
  <si>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</si>
  <si>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</si>
  <si>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</si>
  <si>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</si>
  <si>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</si>
  <si>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</si>
  <si>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</si>
  <si>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</si>
  <si>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</si>
  <si>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</si>
  <si>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</si>
  <si>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</si>
  <si>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</si>
  <si>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</si>
  <si>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</si>
  <si>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</si>
  <si>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</si>
  <si>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</si>
  <si>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</si>
  <si>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</si>
  <si>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</si>
  <si>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</si>
  <si>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</si>
  <si>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</si>
  <si>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</si>
  <si>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</si>
  <si>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</si>
  <si>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</si>
  <si>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</si>
  <si>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</si>
  <si>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</si>
  <si>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</si>
  <si>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</si>
  <si>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</si>
  <si>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</si>
  <si>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</si>
  <si>
    <t>Check for Property Deduction in SPED March to Feb Totals</t>
  </si>
  <si>
    <t>June Calc</t>
  </si>
  <si>
    <t>Monthy Sep-May</t>
  </si>
  <si>
    <t>Payment After 9 Months</t>
  </si>
  <si>
    <t>Total Payments-Check</t>
  </si>
  <si>
    <t>Remaining Amount or June Codeing</t>
  </si>
  <si>
    <t>90% Portion In State Aid</t>
  </si>
  <si>
    <t>90% Portion In Property Tax</t>
  </si>
  <si>
    <t>Monthly State Aid Portion of 90% Payment 
June
 to Pay to AEA
Included in State Aid Payment</t>
  </si>
  <si>
    <t>Monthly Property Tax Portion of 90% Payment 
June
 to Pay to AEA
From Local Property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</si>
</sst>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3" fontId="30" fillId="34" borderId="0" xfId="0" applyNumberFormat="1" applyFont="1" applyFill="1" applyAlignment="1" applyProtection="1">
      <alignment horizontal="center" wrapText="1"/>
      <protection hidden="1"/>
    </xf>
    <xf numFmtId="4" fontId="30" fillId="0" borderId="0" xfId="0" applyNumberFormat="1" applyFont="1" applyProtection="1">
      <protection hidden="1"/>
    </xf>
    <xf numFmtId="4" fontId="30" fillId="0" borderId="0" xfId="0" applyNumberFormat="1" applyFont="1" applyAlignment="1" applyProtection="1">
      <alignment wrapText="1"/>
      <protection hidden="1"/>
    </xf>
    <xf numFmtId="4" fontId="26" fillId="0" borderId="25" xfId="0" applyNumberFormat="1" applyFont="1" applyBorder="1" applyProtection="1">
      <protection hidden="1"/>
    </xf>
    <xf numFmtId="4" fontId="26" fillId="0" borderId="0" xfId="47" applyNumberFormat="1" applyFont="1" applyProtection="1"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ERTIFIEDBUDGETS/FY2026/Aid&amp;Levy_TaxCert_ProgramSummary.xlsx" TargetMode="External"/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REPORTS/FY2018/ProgramSummary.xlsx" TargetMode="External"/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PAY/FY2017/+StateAidPaymentSummary.xlsx" TargetMode="External"/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Normal="100" workbookViewId="0">
      <pane xSplit="2" ySplit="5" topLeftCell="C300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83" t="str">
        <f>CONCATENATE("FY ",Notes!$B$1," Budget for State Payments to School Districts (Budget Total)")</f>
        <v>FY 2026 Budget for State Payments to School Districts (Budget Total)</v>
      </c>
      <c r="B1" s="283"/>
      <c r="C1" s="283"/>
      <c r="D1" s="283"/>
      <c r="E1" s="283"/>
      <c r="F1" s="283"/>
      <c r="G1" s="283"/>
      <c r="H1" s="283"/>
      <c r="I1" s="10"/>
    </row>
    <row r="2" spans="1:11" s="11" customFormat="1" ht="14.4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16060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4584943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6706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2302308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49504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17672555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12026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4220419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4704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1264156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24645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9229503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12347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4081545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5778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1835916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33000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9819698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25190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8533644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11923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4030879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19510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5998435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103386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28681725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27413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9614905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4955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1779907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290817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94856315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18110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6639753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8916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2036141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6423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1623103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33116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12641580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11276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3390625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17973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4991118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40301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14836512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7778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3166238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10101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2957532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11367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3690388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10640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4058228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13766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4447578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16085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5457309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3765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1186861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33647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10324890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87233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29170069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17993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5262807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60709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21798404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45240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17480298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12466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4698045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13406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4041639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11821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3910788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10393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2641378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83755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37027934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9563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2197727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6319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2208073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7995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2837830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18431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6636244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12466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5431430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43945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17497363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35323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11162303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124611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42876398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367591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133959945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25794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9298511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28825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11783779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19263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6419835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10400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3785222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33301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12099060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9379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3547991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13716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6022076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16710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5558842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30158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11477509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32398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12100428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6576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2080347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22848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8771243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22034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8043028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22164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6750379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33688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13653880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6216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2587025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6111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1201085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71200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23568994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26004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5426554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81728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34781204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15608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5562480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116607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36556924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9534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3441124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10307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2983204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17387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6821216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10042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3600557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9032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2458733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192865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81818270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30339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10989404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78584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26395395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9575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3520481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309356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117963304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24608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8753947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33073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10106711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3922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1528798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45080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19021833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19888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7389415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703141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292199613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2052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1026303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19419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7139884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224898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84912287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7855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2863344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8829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2649299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10733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3387654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20725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7178732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22235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8488019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13084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4741151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11611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4027008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12122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4435752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10238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3966157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7000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2481492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8257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2689075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8619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3260397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12058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4312702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13764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4207973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10111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3414072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3717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1410365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26170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9790994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9657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3146768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33741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10692082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23231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8253904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78050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30308116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47440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17006731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10033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3539730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10726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3198333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18796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5095791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9422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2933414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36267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11228349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3605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1156215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14035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4617984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42506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14285134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7144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2386007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8581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2417141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14482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5320536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5685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2102474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34254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12048690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10104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3217562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15528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5594389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8852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3264966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14548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4400205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7023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2368672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4629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1120654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24804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9195923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30708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10372472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6818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1602241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14436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3900732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12628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3958666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13050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4331149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26154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8604830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9310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2461612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17706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7007967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27345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9483711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30893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11320863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78217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29140134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18705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6811820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331789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106158916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22023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7729864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11055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4176768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15385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4543316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10104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3755652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27345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8687590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19831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7253706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153631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51654866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40778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17800226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7559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2521467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10516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3680657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39206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14935049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12607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3999870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6620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2898301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7183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2438445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13711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4604948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11155</v>
      </c>
      <c r="G166" s="21">
        <f>IF(OR(Notes!$B$3="Pay 1 Regular State Payment Budget",Notes!$B$3="Pay 2 Regular State Payment Budget"),0,INDEX(Data[],MATCH($A166,Data[Dist],0),MATCH(G$4,Data[#Headers],0)))</f>
        <v>75540</v>
      </c>
      <c r="H166" s="21">
        <f>INDEX(Data[],MATCH($A166,Data[Dist],0),MATCH(H$4,Data[#Headers],0))</f>
        <v>3606852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49091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16236791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10339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3762878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59660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16440622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16051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5546580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170874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60132338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15469</v>
      </c>
      <c r="G172" s="21">
        <f>IF(OR(Notes!$B$3="Pay 1 Regular State Payment Budget",Notes!$B$3="Pay 2 Regular State Payment Budget"),0,INDEX(Data[],MATCH($A172,Data[Dist],0),MATCH(G$4,Data[#Headers],0)))</f>
        <v>35937</v>
      </c>
      <c r="H172" s="21">
        <f>INDEX(Data[],MATCH($A172,Data[Dist],0),MATCH(H$4,Data[#Headers],0))</f>
        <v>6177638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13362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4758897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6836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2263157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15255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5336846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9709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3224440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14126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5421394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12541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3817487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15056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4309163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12776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3424278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27393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11335747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15321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4437974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10143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2494730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38921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15819090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122684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51942323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10808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3763160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74796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27318436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34876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11335879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19852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6587522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6553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2798299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11258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3705829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26328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8834415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16705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5849371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18126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6732473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10361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2187698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22064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7831843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6941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2627546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4706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2041261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4355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1763065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4647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1764350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13392</v>
      </c>
      <c r="G201" s="21">
        <f>IF(OR(Notes!$B$3="Pay 1 Regular State Payment Budget",Notes!$B$3="Pay 2 Regular State Payment Budget"),0,INDEX(Data[],MATCH($A201,Data[Dist],0),MATCH(G$4,Data[#Headers],0)))</f>
        <v>5979</v>
      </c>
      <c r="H201" s="21">
        <f>INDEX(Data[],MATCH($A201,Data[Dist],0),MATCH(H$4,Data[#Headers],0))</f>
        <v>4386445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40066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14668873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24633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8672416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5003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2163069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98413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37510218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13079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4421532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31898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11184981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10304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3161964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22638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7269488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12425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4987774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64845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24959968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17480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5701114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11196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4031194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25274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9065308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10754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3436208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12735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4068074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5279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954792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49976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17761861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68209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21136581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10309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3404018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11164</v>
      </c>
      <c r="G221" s="21">
        <f>IF(OR(Notes!$B$3="Pay 1 Regular State Payment Budget",Notes!$B$3="Pay 2 Regular State Payment Budget"),0,INDEX(Data[],MATCH($A221,Data[Dist],0),MATCH(G$4,Data[#Headers],0)))</f>
        <v>216106</v>
      </c>
      <c r="H221" s="21">
        <f>INDEX(Data[],MATCH($A221,Data[Dist],0),MATCH(H$4,Data[#Headers],0))</f>
        <v>3362456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78764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28893872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16577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5452144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20682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6330470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28954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11774091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12564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3428342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23154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766721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4421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1673644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3124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563611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20030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6665717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50074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18766204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116846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51037090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14673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3802371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4287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1251250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13130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2217873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12021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3604743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48699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16142227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41259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17438750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125356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41103104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15959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6270865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15045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2954275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16840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7198204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22577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7903797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22184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7686237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7550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2067507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8074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2381118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17984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6566466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22976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7911995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9189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3180212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4218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1453204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13962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4022409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23176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1945039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8004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2369689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5270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1429306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32382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8978633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5062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1896440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17070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5219186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26024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9775152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24173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8469864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15262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5195340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8373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2775202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12747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4613828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35070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14058278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330227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143869029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9634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2987865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20255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5687941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32555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10359305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11148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4065855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13900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4216087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25199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7505953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4294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1394139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31134</v>
      </c>
      <c r="G272" s="21">
        <f>IF(OR(Notes!$B$3="Pay 1 Regular State Payment Budget",Notes!$B$3="Pay 2 Regular State Payment Budget"),0,INDEX(Data[],MATCH($A272,Data[Dist],0),MATCH(G$4,Data[#Headers],0)))</f>
        <v>306941</v>
      </c>
      <c r="H272" s="21">
        <f>INDEX(Data[],MATCH($A272,Data[Dist],0),MATCH(H$4,Data[#Headers],0))</f>
        <v>12399832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12286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4603657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166198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60997769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44401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16750597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26220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1977105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9212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3480471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4517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1846801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12313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4334981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60700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26816968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3126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1082640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21767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6553825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17307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5998327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17250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5999774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13196</v>
      </c>
      <c r="G285" s="21">
        <f>IF(OR(Notes!$B$3="Pay 1 Regular State Payment Budget",Notes!$B$3="Pay 2 Regular State Payment Budget"),0,INDEX(Data[],MATCH($A285,Data[Dist],0),MATCH(G$4,Data[#Headers],0)))</f>
        <v>26191</v>
      </c>
      <c r="H285" s="21">
        <f>INDEX(Data[],MATCH($A285,Data[Dist],0),MATCH(H$4,Data[#Headers],0))</f>
        <v>4133569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15180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5426861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5468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1883432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8733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3524807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8138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2601541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6654</v>
      </c>
      <c r="G290" s="21">
        <f>IF(OR(Notes!$B$3="Pay 1 Regular State Payment Budget",Notes!$B$3="Pay 2 Regular State Payment Budget"),0,INDEX(Data[],MATCH($A290,Data[Dist],0),MATCH(G$4,Data[#Headers],0)))</f>
        <v>17518</v>
      </c>
      <c r="H290" s="21">
        <f>INDEX(Data[],MATCH($A290,Data[Dist],0),MATCH(H$4,Data[#Headers],0))</f>
        <v>2628992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3694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932552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16536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5638996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8316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1893949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78835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27252047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21715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7048377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21902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7346470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6202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2086559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37054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13130684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11011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4618875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18402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5587383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11932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4292207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13364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5013627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36714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14357596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246549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107194816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319614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102039648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49426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16962605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12505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4236850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39795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13869224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7507</v>
      </c>
      <c r="G309" s="21">
        <f>IF(OR(Notes!$B$3="Pay 1 Regular State Payment Budget",Notes!$B$3="Pay 2 Regular State Payment Budget"),0,INDEX(Data[],MATCH($A309,Data[Dist],0),MATCH(G$4,Data[#Headers],0)))</f>
        <v>20794</v>
      </c>
      <c r="H309" s="21">
        <f>INDEX(Data[],MATCH($A309,Data[Dist],0),MATCH(H$4,Data[#Headers],0))</f>
        <v>2162404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18148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5668057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8802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3294944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6056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2144775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30311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9655765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194409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56602081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72617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23730463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7641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2144653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28186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11556784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21603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6394449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16634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5368548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13041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4239525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16716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6793181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11376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2965552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3915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1211693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25185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8489920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18593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6772645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6900</v>
      </c>
      <c r="G326" s="21">
        <f>IF(OR(Notes!$B$3="Pay 1 Regular State Payment Budget",Notes!$B$3="Pay 2 Regular State Payment Budget"),0,INDEX(Data[],MATCH($A326,Data[Dist],0),MATCH(G$4,Data[#Headers],0)))</f>
        <v>110854</v>
      </c>
      <c r="H326" s="21">
        <f>INDEX(Data[],MATCH($A326,Data[Dist],0),MATCH(H$4,Data[#Headers],0))</f>
        <v>2514928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37528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13083733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11686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4194013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11764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4306820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25229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8942793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10960323</v>
      </c>
      <c r="G331" s="23">
        <f t="shared" si="0"/>
        <v>815860</v>
      </c>
      <c r="H331" s="23">
        <f t="shared" si="0"/>
        <v>3910021543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1227</v>
      </c>
      <c r="C1" s="251" t="s">
        <v>785</v>
      </c>
      <c r="D1" s="251" t="s">
        <v>348</v>
      </c>
      <c r="E1" s="251" t="s">
        <v>1228</v>
      </c>
      <c r="F1" s="251" t="s">
        <v>1229</v>
      </c>
      <c r="G1" s="251" t="s">
        <v>1230</v>
      </c>
      <c r="H1" s="251" t="s">
        <v>1231</v>
      </c>
      <c r="I1" s="251" t="s">
        <v>1232</v>
      </c>
      <c r="J1" s="251" t="s">
        <v>1233</v>
      </c>
      <c r="K1" s="251" t="s">
        <v>1234</v>
      </c>
      <c r="L1" s="251" t="s">
        <v>1235</v>
      </c>
      <c r="M1" s="251" t="s">
        <v>1236</v>
      </c>
      <c r="N1" s="251" t="s">
        <v>1237</v>
      </c>
      <c r="O1" s="251" t="s">
        <v>1238</v>
      </c>
      <c r="P1" s="251" t="s">
        <v>1239</v>
      </c>
      <c r="Q1" s="251" t="s">
        <v>1240</v>
      </c>
      <c r="R1" s="251" t="s">
        <v>1241</v>
      </c>
      <c r="S1" s="251" t="s">
        <v>1242</v>
      </c>
      <c r="T1" s="251" t="s">
        <v>1243</v>
      </c>
      <c r="U1" s="251" t="s">
        <v>1244</v>
      </c>
      <c r="V1" s="251" t="s">
        <v>1245</v>
      </c>
      <c r="W1" s="251" t="s">
        <v>1246</v>
      </c>
      <c r="X1" s="251" t="s">
        <v>1247</v>
      </c>
      <c r="Y1" s="251" t="s">
        <v>1248</v>
      </c>
      <c r="Z1" s="251" t="s">
        <v>1249</v>
      </c>
      <c r="AA1" s="251" t="s">
        <v>1250</v>
      </c>
      <c r="AB1" s="251" t="s">
        <v>1251</v>
      </c>
      <c r="AC1" s="251" t="s">
        <v>1252</v>
      </c>
      <c r="AD1" s="251" t="s">
        <v>1253</v>
      </c>
      <c r="AE1" s="251" t="s">
        <v>1254</v>
      </c>
      <c r="AF1" s="251" t="s">
        <v>1255</v>
      </c>
      <c r="AG1" s="251" t="s">
        <v>1256</v>
      </c>
      <c r="AH1" s="251" t="s">
        <v>1257</v>
      </c>
      <c r="AI1" s="251" t="s">
        <v>1258</v>
      </c>
      <c r="AJ1" s="251" t="s">
        <v>1259</v>
      </c>
      <c r="AK1" s="251" t="s">
        <v>1260</v>
      </c>
      <c r="AL1" s="251" t="s">
        <v>1261</v>
      </c>
      <c r="AM1" s="251" t="s">
        <v>1262</v>
      </c>
      <c r="AN1" s="251" t="s">
        <v>1263</v>
      </c>
      <c r="AO1" s="251" t="s">
        <v>1264</v>
      </c>
      <c r="AP1" s="251" t="s">
        <v>1265</v>
      </c>
      <c r="AQ1" s="251" t="s">
        <v>1266</v>
      </c>
      <c r="AR1" s="251" t="s">
        <v>1267</v>
      </c>
      <c r="AS1" s="251" t="s">
        <v>1268</v>
      </c>
      <c r="AT1" s="251" t="s">
        <v>1269</v>
      </c>
      <c r="AU1" s="251" t="s">
        <v>1270</v>
      </c>
      <c r="AV1" s="251" t="s">
        <v>1271</v>
      </c>
      <c r="AW1" s="251" t="s">
        <v>1272</v>
      </c>
      <c r="AX1" s="251" t="s">
        <v>1273</v>
      </c>
      <c r="AY1" s="251" t="s">
        <v>1274</v>
      </c>
      <c r="AZ1" s="251" t="s">
        <v>1275</v>
      </c>
      <c r="BA1" s="251" t="s">
        <v>1276</v>
      </c>
      <c r="BB1" s="251" t="s">
        <v>1277</v>
      </c>
      <c r="BC1" s="251" t="s">
        <v>1278</v>
      </c>
      <c r="BD1" s="251" t="s">
        <v>1279</v>
      </c>
      <c r="BE1" s="251" t="s">
        <v>1280</v>
      </c>
      <c r="BF1" s="251" t="s">
        <v>1281</v>
      </c>
      <c r="BG1" s="251" t="s">
        <v>1282</v>
      </c>
      <c r="BH1" s="251" t="s">
        <v>1283</v>
      </c>
      <c r="BI1" s="251" t="s">
        <v>1284</v>
      </c>
      <c r="BJ1" s="251" t="s">
        <v>1285</v>
      </c>
      <c r="BK1" s="251" t="s">
        <v>1286</v>
      </c>
      <c r="BL1" s="251" t="s">
        <v>1287</v>
      </c>
      <c r="BM1" s="251" t="s">
        <v>1288</v>
      </c>
      <c r="BN1" s="251" t="s">
        <v>1289</v>
      </c>
      <c r="BO1" s="251" t="s">
        <v>1290</v>
      </c>
      <c r="BP1" s="251" t="s">
        <v>1291</v>
      </c>
      <c r="BQ1" s="251" t="s">
        <v>1292</v>
      </c>
      <c r="BR1" s="251" t="s">
        <v>1293</v>
      </c>
      <c r="BS1" s="251" t="s">
        <v>1294</v>
      </c>
      <c r="BT1" s="251" t="s">
        <v>1295</v>
      </c>
      <c r="BU1" s="251" t="s">
        <v>1296</v>
      </c>
      <c r="BV1" s="251" t="s">
        <v>1297</v>
      </c>
      <c r="BW1" s="251" t="s">
        <v>1298</v>
      </c>
      <c r="BX1" s="251" t="s">
        <v>1299</v>
      </c>
      <c r="BY1" s="251" t="s">
        <v>1300</v>
      </c>
      <c r="BZ1" s="251" t="s">
        <v>1301</v>
      </c>
      <c r="CA1" s="251" t="s">
        <v>1302</v>
      </c>
      <c r="CB1" s="251" t="s">
        <v>1303</v>
      </c>
      <c r="CC1" s="251" t="s">
        <v>1304</v>
      </c>
      <c r="CD1" s="251" t="s">
        <v>1305</v>
      </c>
      <c r="CE1" s="251" t="s">
        <v>1306</v>
      </c>
      <c r="CF1" s="251" t="s">
        <v>1307</v>
      </c>
      <c r="CG1" s="251" t="s">
        <v>1308</v>
      </c>
      <c r="CH1" s="251" t="s">
        <v>1309</v>
      </c>
      <c r="CI1" s="251" t="s">
        <v>1310</v>
      </c>
      <c r="CJ1" s="251" t="s">
        <v>1311</v>
      </c>
      <c r="CK1" s="251" t="s">
        <v>1312</v>
      </c>
      <c r="CL1" s="251" t="s">
        <v>1313</v>
      </c>
      <c r="CM1" s="251" t="s">
        <v>1314</v>
      </c>
      <c r="CN1" s="251" t="s">
        <v>1315</v>
      </c>
      <c r="CO1" s="251" t="s">
        <v>1316</v>
      </c>
      <c r="CP1" s="251" t="s">
        <v>1317</v>
      </c>
      <c r="CQ1" s="251" t="s">
        <v>1318</v>
      </c>
      <c r="CR1" s="251" t="s">
        <v>1319</v>
      </c>
      <c r="CS1" s="251" t="s">
        <v>1320</v>
      </c>
      <c r="CT1" s="251" t="s">
        <v>1321</v>
      </c>
      <c r="CU1" s="251" t="s">
        <v>1322</v>
      </c>
      <c r="CV1" s="251" t="s">
        <v>1323</v>
      </c>
      <c r="CW1" s="251" t="s">
        <v>1324</v>
      </c>
      <c r="CX1" s="251" t="s">
        <v>1325</v>
      </c>
      <c r="CY1" s="251" t="s">
        <v>1326</v>
      </c>
      <c r="CZ1" s="251" t="s">
        <v>1327</v>
      </c>
      <c r="DA1" s="251" t="s">
        <v>1328</v>
      </c>
      <c r="DB1" s="251" t="s">
        <v>1329</v>
      </c>
      <c r="DC1" s="251" t="s">
        <v>1330</v>
      </c>
      <c r="DD1" s="251" t="s">
        <v>1331</v>
      </c>
      <c r="DE1" s="251" t="s">
        <v>1332</v>
      </c>
      <c r="DF1" s="251" t="s">
        <v>1333</v>
      </c>
      <c r="DG1" s="251" t="s">
        <v>1334</v>
      </c>
      <c r="DH1" s="251" t="s">
        <v>1335</v>
      </c>
      <c r="DI1" s="251" t="s">
        <v>1336</v>
      </c>
      <c r="DJ1" s="251" t="s">
        <v>1337</v>
      </c>
      <c r="DK1" s="251" t="s">
        <v>1338</v>
      </c>
      <c r="DL1" s="251" t="s">
        <v>1339</v>
      </c>
      <c r="DM1" s="251" t="s">
        <v>1340</v>
      </c>
      <c r="DN1" s="251" t="s">
        <v>1341</v>
      </c>
      <c r="DO1" s="251" t="s">
        <v>1342</v>
      </c>
      <c r="DP1" s="251" t="s">
        <v>1343</v>
      </c>
      <c r="DQ1" s="251" t="s">
        <v>1344</v>
      </c>
      <c r="DR1" s="251" t="s">
        <v>1345</v>
      </c>
      <c r="DS1" s="251" t="s">
        <v>1346</v>
      </c>
      <c r="DT1" s="251" t="s">
        <v>1347</v>
      </c>
      <c r="DU1" s="251" t="s">
        <v>1348</v>
      </c>
      <c r="DV1" s="251" t="s">
        <v>1349</v>
      </c>
      <c r="DW1" s="251" t="s">
        <v>1350</v>
      </c>
      <c r="DX1" s="251" t="s">
        <v>1351</v>
      </c>
      <c r="DY1" s="251" t="s">
        <v>1352</v>
      </c>
      <c r="DZ1" s="251" t="s">
        <v>1353</v>
      </c>
      <c r="EA1" s="251" t="s">
        <v>1354</v>
      </c>
      <c r="EB1" s="251" t="s">
        <v>1355</v>
      </c>
      <c r="EC1" s="251" t="s">
        <v>1356</v>
      </c>
      <c r="ED1" s="251" t="s">
        <v>1357</v>
      </c>
      <c r="EE1" s="251" t="s">
        <v>1358</v>
      </c>
      <c r="EF1" s="251" t="s">
        <v>1359</v>
      </c>
      <c r="EG1" s="251" t="s">
        <v>1360</v>
      </c>
      <c r="EH1" s="251" t="s">
        <v>1361</v>
      </c>
      <c r="EI1" s="251" t="s">
        <v>1362</v>
      </c>
      <c r="EJ1" s="251" t="s">
        <v>1363</v>
      </c>
      <c r="EK1" s="251" t="s">
        <v>1364</v>
      </c>
      <c r="EL1" s="251" t="s">
        <v>1365</v>
      </c>
      <c r="EM1" s="251" t="s">
        <v>1366</v>
      </c>
      <c r="EN1" s="251" t="s">
        <v>1367</v>
      </c>
      <c r="EO1" s="251" t="s">
        <v>1368</v>
      </c>
      <c r="EP1" s="251" t="s">
        <v>1369</v>
      </c>
      <c r="EQ1" s="251" t="s">
        <v>1370</v>
      </c>
      <c r="ER1" s="251" t="s">
        <v>1371</v>
      </c>
      <c r="ES1" s="251" t="s">
        <v>1372</v>
      </c>
      <c r="ET1" s="251" t="s">
        <v>1373</v>
      </c>
      <c r="EU1" s="251" t="s">
        <v>1374</v>
      </c>
      <c r="EV1" s="251" t="s">
        <v>1375</v>
      </c>
      <c r="EW1" s="251" t="s">
        <v>1376</v>
      </c>
      <c r="EX1" s="251" t="s">
        <v>1377</v>
      </c>
      <c r="EY1" s="251" t="s">
        <v>1378</v>
      </c>
      <c r="EZ1" s="251" t="s">
        <v>1379</v>
      </c>
      <c r="FA1" s="251" t="s">
        <v>1380</v>
      </c>
      <c r="FB1" s="251" t="s">
        <v>1381</v>
      </c>
      <c r="FC1" s="251" t="s">
        <v>1382</v>
      </c>
      <c r="FD1" s="251" t="s">
        <v>1383</v>
      </c>
      <c r="FE1" s="251" t="s">
        <v>1384</v>
      </c>
      <c r="FF1" s="251" t="s">
        <v>1385</v>
      </c>
      <c r="FG1" s="251" t="s">
        <v>1386</v>
      </c>
      <c r="FH1" s="251" t="s">
        <v>1387</v>
      </c>
      <c r="FI1" s="251" t="s">
        <v>1388</v>
      </c>
      <c r="FJ1" s="251" t="s">
        <v>1389</v>
      </c>
      <c r="FK1" s="251" t="s">
        <v>1390</v>
      </c>
      <c r="FL1" s="251" t="s">
        <v>1391</v>
      </c>
      <c r="FM1" s="251" t="s">
        <v>1392</v>
      </c>
      <c r="FN1" s="251" t="s">
        <v>1393</v>
      </c>
      <c r="FO1" s="251" t="s">
        <v>1394</v>
      </c>
      <c r="FP1" s="251" t="s">
        <v>1395</v>
      </c>
      <c r="FQ1" s="251" t="s">
        <v>1396</v>
      </c>
      <c r="FR1" s="251" t="s">
        <v>1397</v>
      </c>
      <c r="FS1" s="251" t="s">
        <v>1398</v>
      </c>
      <c r="FT1" s="251" t="s">
        <v>1399</v>
      </c>
      <c r="FU1" s="251" t="s">
        <v>1400</v>
      </c>
      <c r="FV1" s="251" t="s">
        <v>1401</v>
      </c>
      <c r="FW1" s="251" t="s">
        <v>1402</v>
      </c>
      <c r="FX1" s="251" t="s">
        <v>1403</v>
      </c>
      <c r="FY1" s="251" t="s">
        <v>1404</v>
      </c>
      <c r="FZ1" s="251" t="s">
        <v>1405</v>
      </c>
      <c r="GA1" s="251" t="s">
        <v>1406</v>
      </c>
      <c r="GB1" s="251" t="s">
        <v>1407</v>
      </c>
      <c r="GC1" s="251" t="s">
        <v>1408</v>
      </c>
      <c r="GD1" s="251" t="s">
        <v>1409</v>
      </c>
      <c r="GE1" s="251" t="s">
        <v>1410</v>
      </c>
      <c r="GF1" s="251" t="s">
        <v>1411</v>
      </c>
      <c r="GG1" s="251" t="s">
        <v>1412</v>
      </c>
      <c r="GH1" s="251" t="s">
        <v>1413</v>
      </c>
      <c r="GI1" s="251" t="s">
        <v>1414</v>
      </c>
      <c r="GJ1" s="251" t="s">
        <v>1415</v>
      </c>
      <c r="GK1" s="251" t="s">
        <v>1416</v>
      </c>
      <c r="GL1" s="251" t="s">
        <v>1417</v>
      </c>
      <c r="GM1" s="251" t="s">
        <v>1418</v>
      </c>
      <c r="GN1" s="251" t="s">
        <v>1419</v>
      </c>
      <c r="GO1" s="251" t="s">
        <v>1420</v>
      </c>
      <c r="GP1" s="251" t="s">
        <v>1421</v>
      </c>
      <c r="GQ1" s="251" t="s">
        <v>1422</v>
      </c>
      <c r="GR1" s="251" t="s">
        <v>1423</v>
      </c>
      <c r="GS1" s="251" t="s">
        <v>1424</v>
      </c>
      <c r="GT1" s="251" t="s">
        <v>1425</v>
      </c>
      <c r="GU1" s="251" t="s">
        <v>1426</v>
      </c>
      <c r="GV1" s="251" t="s">
        <v>1427</v>
      </c>
      <c r="GW1" s="251" t="s">
        <v>1428</v>
      </c>
      <c r="GX1" s="251" t="s">
        <v>1429</v>
      </c>
      <c r="GY1" s="251" t="s">
        <v>1430</v>
      </c>
      <c r="GZ1" s="251" t="s">
        <v>1431</v>
      </c>
      <c r="HA1" s="251" t="s">
        <v>1432</v>
      </c>
      <c r="HB1" s="251" t="s">
        <v>1433</v>
      </c>
      <c r="HC1" s="251" t="s">
        <v>1434</v>
      </c>
      <c r="HD1" s="251" t="s">
        <v>1435</v>
      </c>
      <c r="HE1" s="251" t="s">
        <v>1436</v>
      </c>
      <c r="HF1" s="251" t="s">
        <v>1437</v>
      </c>
      <c r="HG1" s="251" t="s">
        <v>1438</v>
      </c>
      <c r="HH1" s="251" t="s">
        <v>1439</v>
      </c>
      <c r="HI1" s="251" t="s">
        <v>1440</v>
      </c>
      <c r="HJ1" s="251" t="s">
        <v>1441</v>
      </c>
      <c r="HK1" s="251" t="s">
        <v>1442</v>
      </c>
      <c r="HL1" s="251" t="s">
        <v>1443</v>
      </c>
      <c r="HM1" s="251" t="s">
        <v>1444</v>
      </c>
      <c r="HN1" s="251" t="s">
        <v>1445</v>
      </c>
      <c r="HO1" s="251" t="s">
        <v>1446</v>
      </c>
      <c r="HP1" s="251" t="s">
        <v>1447</v>
      </c>
      <c r="HQ1" s="251" t="s">
        <v>1448</v>
      </c>
      <c r="HR1" s="251" t="s">
        <v>1449</v>
      </c>
      <c r="HS1" s="251" t="s">
        <v>1450</v>
      </c>
      <c r="HT1" s="251" t="s">
        <v>1451</v>
      </c>
      <c r="HU1" s="251" t="s">
        <v>1452</v>
      </c>
      <c r="HV1" s="251" t="s">
        <v>1453</v>
      </c>
      <c r="HW1" s="251" t="s">
        <v>1454</v>
      </c>
      <c r="HX1" s="251" t="s">
        <v>1455</v>
      </c>
      <c r="HY1" s="251" t="s">
        <v>1456</v>
      </c>
      <c r="HZ1" s="251" t="s">
        <v>1457</v>
      </c>
      <c r="IA1" s="251" t="s">
        <v>1458</v>
      </c>
      <c r="IB1" s="251" t="s">
        <v>1459</v>
      </c>
      <c r="IC1" s="251" t="s">
        <v>1460</v>
      </c>
      <c r="ID1" s="251" t="s">
        <v>1461</v>
      </c>
      <c r="IE1" s="251" t="s">
        <v>1462</v>
      </c>
      <c r="IF1" s="251" t="s">
        <v>1463</v>
      </c>
      <c r="IG1" s="251" t="s">
        <v>1464</v>
      </c>
      <c r="IH1" s="251" t="s">
        <v>1465</v>
      </c>
      <c r="II1" s="251" t="s">
        <v>1466</v>
      </c>
      <c r="IJ1" s="251" t="s">
        <v>1467</v>
      </c>
      <c r="IK1" s="251" t="s">
        <v>1468</v>
      </c>
      <c r="IL1" s="251" t="s">
        <v>1469</v>
      </c>
      <c r="IM1" s="251" t="s">
        <v>1470</v>
      </c>
      <c r="IN1" s="251" t="s">
        <v>1471</v>
      </c>
      <c r="IO1" s="251" t="s">
        <v>1472</v>
      </c>
      <c r="IP1" s="251" t="s">
        <v>1473</v>
      </c>
      <c r="IQ1" s="251" t="s">
        <v>1474</v>
      </c>
      <c r="IR1" s="251" t="s">
        <v>1475</v>
      </c>
      <c r="IS1" s="251" t="s">
        <v>1476</v>
      </c>
      <c r="IT1" s="251" t="s">
        <v>1477</v>
      </c>
      <c r="IU1" s="251" t="s">
        <v>1478</v>
      </c>
      <c r="IV1" s="251" t="s">
        <v>1479</v>
      </c>
      <c r="IW1" s="251" t="s">
        <v>1480</v>
      </c>
      <c r="IX1" s="251" t="s">
        <v>1481</v>
      </c>
      <c r="IY1" s="251" t="s">
        <v>1482</v>
      </c>
      <c r="IZ1" s="251" t="s">
        <v>1483</v>
      </c>
      <c r="JA1" s="251" t="s">
        <v>1484</v>
      </c>
      <c r="JB1" s="251" t="s">
        <v>1485</v>
      </c>
      <c r="JC1" s="251" t="s">
        <v>1486</v>
      </c>
      <c r="JD1" s="251" t="s">
        <v>1487</v>
      </c>
      <c r="JE1" s="251" t="s">
        <v>1488</v>
      </c>
      <c r="JF1" s="251" t="s">
        <v>1489</v>
      </c>
      <c r="JG1" s="251" t="s">
        <v>1490</v>
      </c>
      <c r="JH1" s="251" t="s">
        <v>1491</v>
      </c>
      <c r="JI1" s="251" t="s">
        <v>1492</v>
      </c>
      <c r="JJ1" s="251" t="s">
        <v>1493</v>
      </c>
      <c r="JK1" s="251" t="s">
        <v>1494</v>
      </c>
      <c r="JL1" s="251" t="s">
        <v>1495</v>
      </c>
      <c r="JM1" s="251" t="s">
        <v>1496</v>
      </c>
      <c r="JN1" s="251" t="s">
        <v>1497</v>
      </c>
      <c r="JO1" s="251" t="s">
        <v>1498</v>
      </c>
      <c r="JP1" s="251" t="s">
        <v>1499</v>
      </c>
      <c r="JQ1" s="251" t="s">
        <v>1500</v>
      </c>
      <c r="JR1" s="251" t="s">
        <v>1501</v>
      </c>
      <c r="JS1" s="251" t="s">
        <v>1502</v>
      </c>
      <c r="JT1" s="251" t="s">
        <v>1503</v>
      </c>
      <c r="JU1" s="251" t="s">
        <v>1504</v>
      </c>
      <c r="JV1" s="251" t="s">
        <v>1505</v>
      </c>
      <c r="JW1" s="251" t="s">
        <v>1506</v>
      </c>
      <c r="JX1" s="251" t="s">
        <v>1507</v>
      </c>
      <c r="JY1" s="251" t="s">
        <v>1508</v>
      </c>
      <c r="JZ1" s="251" t="s">
        <v>1509</v>
      </c>
      <c r="KA1" s="251" t="s">
        <v>1510</v>
      </c>
      <c r="KB1" s="251" t="s">
        <v>1511</v>
      </c>
      <c r="KC1" s="251" t="s">
        <v>1512</v>
      </c>
      <c r="KD1" s="251" t="s">
        <v>1513</v>
      </c>
      <c r="KE1" s="251" t="s">
        <v>1514</v>
      </c>
      <c r="KF1" s="251" t="s">
        <v>1515</v>
      </c>
      <c r="KG1" s="251" t="s">
        <v>1516</v>
      </c>
      <c r="KH1" s="251" t="s">
        <v>1517</v>
      </c>
      <c r="KI1" s="251" t="s">
        <v>1518</v>
      </c>
      <c r="KJ1" s="251" t="s">
        <v>1519</v>
      </c>
      <c r="KK1" s="251" t="s">
        <v>1520</v>
      </c>
      <c r="KL1" s="251" t="s">
        <v>1521</v>
      </c>
      <c r="KM1" s="251" t="s">
        <v>1522</v>
      </c>
      <c r="KN1" s="251" t="s">
        <v>1523</v>
      </c>
      <c r="KO1" s="251" t="s">
        <v>1524</v>
      </c>
      <c r="KP1" s="251" t="s">
        <v>1525</v>
      </c>
      <c r="KQ1" s="251" t="s">
        <v>1526</v>
      </c>
      <c r="KR1" s="251" t="s">
        <v>1527</v>
      </c>
      <c r="KS1" s="251" t="s">
        <v>1528</v>
      </c>
      <c r="KT1" s="251" t="s">
        <v>1529</v>
      </c>
      <c r="KU1" s="251" t="s">
        <v>1530</v>
      </c>
      <c r="KV1" s="251" t="s">
        <v>1531</v>
      </c>
      <c r="KW1" s="251" t="s">
        <v>1532</v>
      </c>
      <c r="KX1" s="251" t="s">
        <v>1533</v>
      </c>
      <c r="KY1" s="251" t="s">
        <v>1534</v>
      </c>
      <c r="KZ1" s="251" t="s">
        <v>1535</v>
      </c>
      <c r="LA1" s="251" t="s">
        <v>1536</v>
      </c>
      <c r="LB1" s="251" t="s">
        <v>1537</v>
      </c>
      <c r="LC1" s="251" t="s">
        <v>1538</v>
      </c>
      <c r="LD1" s="251" t="s">
        <v>1539</v>
      </c>
      <c r="LE1" s="251" t="s">
        <v>1540</v>
      </c>
      <c r="LF1" s="251" t="s">
        <v>1541</v>
      </c>
      <c r="LG1" s="251" t="s">
        <v>1542</v>
      </c>
      <c r="LH1" s="251" t="s">
        <v>1543</v>
      </c>
      <c r="LI1" s="251" t="s">
        <v>1544</v>
      </c>
      <c r="LJ1" s="251" t="s">
        <v>1545</v>
      </c>
      <c r="LK1" s="251" t="s">
        <v>1546</v>
      </c>
      <c r="LL1" s="251" t="s">
        <v>1547</v>
      </c>
      <c r="LM1" s="251" t="s">
        <v>1548</v>
      </c>
      <c r="LN1" s="251" t="s">
        <v>1549</v>
      </c>
      <c r="LO1" s="251" t="s">
        <v>1550</v>
      </c>
      <c r="LP1" s="251" t="s">
        <v>1551</v>
      </c>
      <c r="LQ1" s="251" t="s">
        <v>1552</v>
      </c>
      <c r="LR1" s="251" t="s">
        <v>1553</v>
      </c>
      <c r="LS1" s="251" t="s">
        <v>1554</v>
      </c>
      <c r="LT1" s="251" t="s">
        <v>1555</v>
      </c>
      <c r="LU1" s="251" t="s">
        <v>1556</v>
      </c>
      <c r="LV1" s="251" t="s">
        <v>1557</v>
      </c>
      <c r="LW1" s="251" t="s">
        <v>1558</v>
      </c>
      <c r="LX1" s="251" t="s">
        <v>1559</v>
      </c>
      <c r="LY1" s="251" t="s">
        <v>1560</v>
      </c>
      <c r="LZ1" s="251" t="s">
        <v>1561</v>
      </c>
      <c r="MA1" s="251" t="s">
        <v>1562</v>
      </c>
      <c r="MB1" s="251" t="s">
        <v>1563</v>
      </c>
      <c r="MC1" s="251" t="s">
        <v>1564</v>
      </c>
      <c r="MD1" s="251" t="s">
        <v>1565</v>
      </c>
      <c r="ME1" s="251" t="s">
        <v>1566</v>
      </c>
      <c r="MF1" s="251" t="s">
        <v>1567</v>
      </c>
      <c r="MG1" s="251" t="s">
        <v>1568</v>
      </c>
      <c r="MH1" s="251" t="s">
        <v>1569</v>
      </c>
      <c r="MI1" s="251" t="s">
        <v>1570</v>
      </c>
      <c r="MJ1" s="251" t="s">
        <v>1571</v>
      </c>
      <c r="MK1" s="251" t="s">
        <v>1572</v>
      </c>
      <c r="ML1" s="251" t="s">
        <v>1573</v>
      </c>
      <c r="MM1" s="251" t="s">
        <v>1574</v>
      </c>
      <c r="MN1" s="251" t="s">
        <v>1575</v>
      </c>
      <c r="MO1" s="251" t="s">
        <v>1576</v>
      </c>
      <c r="MP1" s="251" t="s">
        <v>1577</v>
      </c>
      <c r="MQ1" s="251" t="s">
        <v>1578</v>
      </c>
      <c r="MR1" s="251" t="s">
        <v>1579</v>
      </c>
      <c r="MS1" s="251" t="s">
        <v>1580</v>
      </c>
      <c r="MT1" s="251" t="s">
        <v>1581</v>
      </c>
      <c r="MU1" s="251" t="s">
        <v>1582</v>
      </c>
      <c r="MV1" s="251" t="s">
        <v>1583</v>
      </c>
      <c r="MW1" s="251" t="s">
        <v>1584</v>
      </c>
      <c r="MX1" s="251" t="s">
        <v>1585</v>
      </c>
      <c r="MY1" s="251" t="s">
        <v>1586</v>
      </c>
      <c r="MZ1" s="251" t="s">
        <v>1587</v>
      </c>
      <c r="NA1" s="251" t="s">
        <v>1588</v>
      </c>
      <c r="NB1" s="251" t="s">
        <v>1589</v>
      </c>
      <c r="NC1" s="251" t="s">
        <v>1590</v>
      </c>
      <c r="ND1" s="251" t="s">
        <v>1591</v>
      </c>
      <c r="NE1" s="251" t="s">
        <v>1592</v>
      </c>
      <c r="NF1" s="251" t="s">
        <v>1593</v>
      </c>
      <c r="NG1" s="251" t="s">
        <v>1594</v>
      </c>
      <c r="NH1" s="251" t="s">
        <v>1595</v>
      </c>
      <c r="NI1" s="251" t="s">
        <v>1596</v>
      </c>
      <c r="NJ1" s="251" t="s">
        <v>1597</v>
      </c>
      <c r="NK1" s="251" t="s">
        <v>1598</v>
      </c>
      <c r="NL1" s="251" t="s">
        <v>1599</v>
      </c>
      <c r="NM1" s="251" t="s">
        <v>1600</v>
      </c>
      <c r="NN1" s="251" t="s">
        <v>1601</v>
      </c>
      <c r="NO1" s="251" t="s">
        <v>1602</v>
      </c>
      <c r="NP1" s="251" t="s">
        <v>1603</v>
      </c>
      <c r="NQ1" s="251" t="s">
        <v>1604</v>
      </c>
      <c r="NR1" s="251" t="s">
        <v>1605</v>
      </c>
      <c r="NS1" s="251" t="s">
        <v>1606</v>
      </c>
      <c r="NT1" s="251" t="s">
        <v>1607</v>
      </c>
      <c r="NU1" s="251" t="s">
        <v>1608</v>
      </c>
      <c r="NV1" s="251" t="s">
        <v>1609</v>
      </c>
      <c r="NW1" s="251" t="s">
        <v>1610</v>
      </c>
      <c r="NX1" s="251" t="s">
        <v>1611</v>
      </c>
      <c r="NY1" s="251" t="s">
        <v>1612</v>
      </c>
      <c r="NZ1" s="251" t="s">
        <v>1613</v>
      </c>
      <c r="OA1" s="251" t="s">
        <v>1614</v>
      </c>
      <c r="OB1" s="251" t="s">
        <v>1615</v>
      </c>
      <c r="OC1" s="251" t="s">
        <v>1616</v>
      </c>
      <c r="OD1" s="251" t="s">
        <v>1617</v>
      </c>
      <c r="OE1" s="251" t="s">
        <v>1618</v>
      </c>
      <c r="OF1" s="251" t="s">
        <v>1619</v>
      </c>
      <c r="OG1" s="251" t="s">
        <v>1620</v>
      </c>
      <c r="OH1" s="251" t="s">
        <v>1621</v>
      </c>
    </row>
    <row r="2" spans="1:398" x14ac:dyDescent="0.25">
      <c r="A2" s="252" t="s">
        <v>807</v>
      </c>
      <c r="B2" s="252" t="s">
        <v>1622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1623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1624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1625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1626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1627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1628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1629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1630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1631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1632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1633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1634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1635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1636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1622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1632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1637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1638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1639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1634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1640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1641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1639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1642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1635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1643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1644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1645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1646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1647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1648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1649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1649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1650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1651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1652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1628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1628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1653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1628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1654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1649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1655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1656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1657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1658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1659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1660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1636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1661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1662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1640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1663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1664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1654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1665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1666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1649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1637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1628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1632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1632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1667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1652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1668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1623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1669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1625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1647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1642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1670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1671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1649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1636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1635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1672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1622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1673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1641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1640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1674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1675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1676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1677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1669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1631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1634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1650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1678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1629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1679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1680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1662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1681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1682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1683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1684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1656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1685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1675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1686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1687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1657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1632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1688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1689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1676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1652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1679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1690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1646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1622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1624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1680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1685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1648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1691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1692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1693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1694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1626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1695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1629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1688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1691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1651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1674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1665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1629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1680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1635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1656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1696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1626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1697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1683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1655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1698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1699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1626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1638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1623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1628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1628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1645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1665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1667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1637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1654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1643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1700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1634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1678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1661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1628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1675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1651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1666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1647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1697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1694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1633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1645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1644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1646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1633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1653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1701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1667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1653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1672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1702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1628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1663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1703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1704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1632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1704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1702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1637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1641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1705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1683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1630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1628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1706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1635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1642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1689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1681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1649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1658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1651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1677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1705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1643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1692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1633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1707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1706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1650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1637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1624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1690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1696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1697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1625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1642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1697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1698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1631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1708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1626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1695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1699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1623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1644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1632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1660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1679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1635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1677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1636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1699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1701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1693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1662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1709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1685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1696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1644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1699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1665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1710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1693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1662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1689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1671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1635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1684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1651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1664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1692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1628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1707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1708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1654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1710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1641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1623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1623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1696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1705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1697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1688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1623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1689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1643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1635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1711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1625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1708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1639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1702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1667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1694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1625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1701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1710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1679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1641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1647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1705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1625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1678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1635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1648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1687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1645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1703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1657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1675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1700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1644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1673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1699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1700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1680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1703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1702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1674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1645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1699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1625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1712</v>
      </c>
      <c r="E327" s="253">
        <v>480665.4</v>
      </c>
      <c r="F327" s="254">
        <v>-81.23</v>
      </c>
      <c r="G327" s="255" t="s">
        <v>1713</v>
      </c>
      <c r="H327" s="255">
        <v>-534799</v>
      </c>
      <c r="I327" s="255" t="s">
        <v>1713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1713</v>
      </c>
      <c r="P327" s="256" t="s">
        <v>1713</v>
      </c>
      <c r="Q327" s="256" t="s">
        <v>1713</v>
      </c>
      <c r="R327" s="256" t="s">
        <v>1714</v>
      </c>
      <c r="S327" s="256" t="s">
        <v>1714</v>
      </c>
      <c r="T327" s="256" t="s">
        <v>1714</v>
      </c>
      <c r="U327" s="256" t="s">
        <v>1714</v>
      </c>
      <c r="V327" s="256" t="s">
        <v>1714</v>
      </c>
      <c r="W327" s="256" t="s">
        <v>1714</v>
      </c>
      <c r="X327" s="256" t="s">
        <v>1714</v>
      </c>
      <c r="Y327" s="256" t="s">
        <v>1714</v>
      </c>
      <c r="Z327" s="256" t="s">
        <v>1714</v>
      </c>
      <c r="AA327" s="256" t="s">
        <v>1714</v>
      </c>
      <c r="AB327" s="256" t="s">
        <v>1714</v>
      </c>
      <c r="AC327" s="256" t="s">
        <v>1714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1713</v>
      </c>
      <c r="AV327" s="256">
        <v>480665.4</v>
      </c>
      <c r="AW327" s="255">
        <v>3843964749</v>
      </c>
      <c r="AX327" s="255">
        <v>3790495946</v>
      </c>
      <c r="AY327" s="255" t="s">
        <v>1714</v>
      </c>
      <c r="AZ327" s="255">
        <v>3828400908</v>
      </c>
      <c r="BA327" s="254">
        <v>3843964749</v>
      </c>
      <c r="BB327" s="255">
        <v>24313423</v>
      </c>
      <c r="BC327" s="255" t="s">
        <v>1713</v>
      </c>
      <c r="BD327" s="256">
        <v>17767.986000000001</v>
      </c>
      <c r="BE327" s="255">
        <v>142134215</v>
      </c>
      <c r="BF327" s="256" t="s">
        <v>1713</v>
      </c>
      <c r="BG327" s="253">
        <v>69112.34</v>
      </c>
      <c r="BH327" s="255">
        <v>552718546</v>
      </c>
      <c r="BI327" s="255" t="s">
        <v>1714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1714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1714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1714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1714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1714</v>
      </c>
      <c r="DB327" s="255">
        <v>33797920</v>
      </c>
      <c r="DC327" s="256">
        <v>519731</v>
      </c>
      <c r="DD327" s="256" t="s">
        <v>1714</v>
      </c>
      <c r="DE327" s="255">
        <v>37346747</v>
      </c>
      <c r="DF327" s="256">
        <v>596.41</v>
      </c>
      <c r="DG327" s="256" t="s">
        <v>1714</v>
      </c>
      <c r="DH327" s="255">
        <v>210003</v>
      </c>
      <c r="DI327" s="255" t="s">
        <v>1714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1714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1715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1715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1713</v>
      </c>
      <c r="FM327" s="256">
        <v>498433.386</v>
      </c>
      <c r="FN327" s="255">
        <v>3519438128</v>
      </c>
      <c r="FO327" s="255" t="s">
        <v>1713</v>
      </c>
      <c r="FP327" s="256">
        <v>69112.34</v>
      </c>
      <c r="FQ327" s="255">
        <v>488002237</v>
      </c>
      <c r="FR327" s="255" t="s">
        <v>1713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1713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1713</v>
      </c>
      <c r="GO327" s="255">
        <v>91147074</v>
      </c>
      <c r="GP327" s="255">
        <v>21</v>
      </c>
      <c r="GQ327" s="255" t="s">
        <v>1713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1715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1713</v>
      </c>
      <c r="HJ327" s="255" t="s">
        <v>1713</v>
      </c>
      <c r="HK327" s="254" t="s">
        <v>1713</v>
      </c>
      <c r="HL327" s="255">
        <v>567545.72600000002</v>
      </c>
      <c r="HM327" s="255">
        <v>137346069</v>
      </c>
      <c r="HN327" s="254">
        <v>567545.72600000002</v>
      </c>
      <c r="HO327" s="255" t="s">
        <v>1713</v>
      </c>
      <c r="HP327" s="254">
        <v>10215823</v>
      </c>
      <c r="HQ327" s="255">
        <v>567545.72600000002</v>
      </c>
      <c r="HR327" s="255" t="s">
        <v>1713</v>
      </c>
      <c r="HS327" s="255" t="s">
        <v>1716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1715</v>
      </c>
      <c r="HZ327" s="255" t="s">
        <v>1715</v>
      </c>
      <c r="IA327" s="255" t="s">
        <v>1715</v>
      </c>
      <c r="IB327" s="256">
        <v>221894948330</v>
      </c>
      <c r="IC327" s="255">
        <v>55172388</v>
      </c>
      <c r="ID327" s="254" t="s">
        <v>1713</v>
      </c>
      <c r="IE327" s="255" t="s">
        <v>1717</v>
      </c>
      <c r="IF327" s="255" t="s">
        <v>1713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1717</v>
      </c>
      <c r="JJ327" s="255">
        <v>384747287</v>
      </c>
      <c r="JK327" s="255">
        <v>221894948330</v>
      </c>
      <c r="JL327" s="255">
        <v>480665.4</v>
      </c>
      <c r="JM327" s="256" t="s">
        <v>1713</v>
      </c>
      <c r="JN327" s="258" t="s">
        <v>1713</v>
      </c>
      <c r="JO327" s="255" t="s">
        <v>1713</v>
      </c>
      <c r="JP327" s="255" t="s">
        <v>1714</v>
      </c>
      <c r="JQ327" s="256" t="s">
        <v>1717</v>
      </c>
      <c r="JR327" s="255">
        <v>384747287</v>
      </c>
      <c r="JS327" s="255">
        <v>109488335</v>
      </c>
      <c r="JT327" s="255" t="s">
        <v>1714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1715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1717</v>
      </c>
      <c r="KI327" s="255">
        <v>697071</v>
      </c>
      <c r="KJ327" s="255" t="s">
        <v>1714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1715</v>
      </c>
      <c r="LU327" s="255">
        <v>180402918</v>
      </c>
      <c r="LV327" s="255">
        <v>240041934286</v>
      </c>
      <c r="LW327" s="255" t="s">
        <v>1715</v>
      </c>
      <c r="LX327" s="255" t="s">
        <v>1715</v>
      </c>
      <c r="LY327" s="255" t="s">
        <v>1715</v>
      </c>
      <c r="LZ327" s="255">
        <v>39356</v>
      </c>
      <c r="MA327" s="257" t="s">
        <v>1714</v>
      </c>
      <c r="MB327" s="255">
        <v>2560106</v>
      </c>
      <c r="MC327" s="255">
        <v>39356</v>
      </c>
      <c r="MD327" s="257" t="s">
        <v>1714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1715</v>
      </c>
      <c r="NJ327" s="255">
        <v>252590297</v>
      </c>
      <c r="NK327" s="255" t="s">
        <v>1714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1714</v>
      </c>
      <c r="NR327" s="256" t="s">
        <v>1714</v>
      </c>
      <c r="NS327" s="255" t="s">
        <v>1713</v>
      </c>
      <c r="NT327" s="255" t="s">
        <v>1713</v>
      </c>
      <c r="NU327" s="255" t="s">
        <v>1714</v>
      </c>
      <c r="NV327" s="255" t="s">
        <v>1714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1227</v>
      </c>
      <c r="C329" s="252" t="s">
        <v>785</v>
      </c>
      <c r="D329" s="251" t="s">
        <v>348</v>
      </c>
      <c r="E329" s="251" t="s">
        <v>1228</v>
      </c>
      <c r="F329" s="251" t="s">
        <v>1229</v>
      </c>
      <c r="G329" s="251" t="s">
        <v>1230</v>
      </c>
      <c r="H329" s="251" t="s">
        <v>1231</v>
      </c>
      <c r="I329" s="251" t="s">
        <v>1232</v>
      </c>
      <c r="J329" s="251" t="s">
        <v>1233</v>
      </c>
      <c r="K329" s="251" t="s">
        <v>1234</v>
      </c>
      <c r="L329" s="251" t="s">
        <v>1238</v>
      </c>
      <c r="M329" s="251" t="s">
        <v>1239</v>
      </c>
      <c r="N329" s="251" t="s">
        <v>1240</v>
      </c>
      <c r="O329" s="251" t="s">
        <v>1241</v>
      </c>
      <c r="P329" s="251" t="s">
        <v>1242</v>
      </c>
      <c r="Q329" s="251" t="s">
        <v>1243</v>
      </c>
      <c r="R329" s="251" t="s">
        <v>1244</v>
      </c>
      <c r="S329" s="251" t="s">
        <v>1245</v>
      </c>
      <c r="T329" s="251" t="s">
        <v>1246</v>
      </c>
      <c r="U329" s="251" t="s">
        <v>1247</v>
      </c>
      <c r="V329" s="251" t="s">
        <v>1248</v>
      </c>
      <c r="W329" s="251" t="s">
        <v>1249</v>
      </c>
      <c r="X329" s="251" t="s">
        <v>1250</v>
      </c>
      <c r="Y329" s="251" t="s">
        <v>1251</v>
      </c>
      <c r="Z329" s="251" t="s">
        <v>1252</v>
      </c>
      <c r="AA329" s="251" t="s">
        <v>1253</v>
      </c>
      <c r="AB329" s="251" t="s">
        <v>1254</v>
      </c>
      <c r="AC329" s="251" t="s">
        <v>1255</v>
      </c>
      <c r="AD329" s="251" t="s">
        <v>1256</v>
      </c>
      <c r="AE329" s="251" t="s">
        <v>1257</v>
      </c>
      <c r="AF329" s="251" t="s">
        <v>1258</v>
      </c>
      <c r="AG329" s="251" t="s">
        <v>1259</v>
      </c>
      <c r="AH329" s="251" t="s">
        <v>1260</v>
      </c>
      <c r="AI329" s="251" t="s">
        <v>1261</v>
      </c>
      <c r="AJ329" s="251" t="s">
        <v>1262</v>
      </c>
      <c r="AK329" s="251" t="s">
        <v>1263</v>
      </c>
      <c r="AL329" s="251" t="s">
        <v>1264</v>
      </c>
      <c r="AM329" s="251" t="s">
        <v>1265</v>
      </c>
      <c r="AN329" s="251" t="s">
        <v>1266</v>
      </c>
      <c r="AO329" s="251" t="s">
        <v>1267</v>
      </c>
      <c r="AP329" s="251" t="s">
        <v>1268</v>
      </c>
      <c r="AQ329" s="251" t="s">
        <v>1269</v>
      </c>
      <c r="AR329" s="251" t="s">
        <v>1270</v>
      </c>
      <c r="AS329" s="251" t="s">
        <v>1271</v>
      </c>
      <c r="AT329" s="251" t="s">
        <v>1272</v>
      </c>
      <c r="AU329" s="251" t="s">
        <v>1273</v>
      </c>
      <c r="AV329" s="251" t="s">
        <v>1274</v>
      </c>
      <c r="AW329" s="251" t="s">
        <v>1275</v>
      </c>
      <c r="AX329" s="251" t="s">
        <v>1276</v>
      </c>
      <c r="AY329" s="251" t="s">
        <v>1277</v>
      </c>
      <c r="AZ329" s="251" t="s">
        <v>1278</v>
      </c>
      <c r="BA329" s="251" t="s">
        <v>1279</v>
      </c>
      <c r="BB329" s="251" t="s">
        <v>1280</v>
      </c>
      <c r="BC329" s="251" t="s">
        <v>1281</v>
      </c>
      <c r="BD329" s="251" t="s">
        <v>1282</v>
      </c>
      <c r="BE329" s="251" t="s">
        <v>1283</v>
      </c>
      <c r="BF329" s="251" t="s">
        <v>1284</v>
      </c>
      <c r="BG329" s="251" t="s">
        <v>1285</v>
      </c>
      <c r="BH329" s="251" t="s">
        <v>1286</v>
      </c>
      <c r="BI329" s="251" t="s">
        <v>1287</v>
      </c>
      <c r="BJ329" s="251" t="s">
        <v>1288</v>
      </c>
      <c r="BK329" s="251" t="s">
        <v>1289</v>
      </c>
      <c r="BL329" s="251" t="s">
        <v>1290</v>
      </c>
      <c r="BM329" s="251" t="s">
        <v>1291</v>
      </c>
      <c r="BN329" s="251" t="s">
        <v>1292</v>
      </c>
      <c r="BO329" s="251" t="s">
        <v>1293</v>
      </c>
      <c r="BP329" s="251" t="s">
        <v>1294</v>
      </c>
      <c r="BQ329" s="251" t="s">
        <v>1295</v>
      </c>
      <c r="BR329" s="251" t="s">
        <v>1296</v>
      </c>
      <c r="BS329" s="251" t="s">
        <v>1297</v>
      </c>
      <c r="BT329" s="251" t="s">
        <v>1298</v>
      </c>
      <c r="BU329" s="251" t="s">
        <v>1299</v>
      </c>
      <c r="BV329" s="251" t="s">
        <v>1300</v>
      </c>
      <c r="BW329" s="251" t="s">
        <v>1301</v>
      </c>
      <c r="BX329" s="251" t="s">
        <v>1302</v>
      </c>
      <c r="BY329" s="251" t="s">
        <v>1303</v>
      </c>
      <c r="BZ329" s="251" t="s">
        <v>1304</v>
      </c>
      <c r="CA329" s="251" t="s">
        <v>1305</v>
      </c>
      <c r="CB329" s="251" t="s">
        <v>1306</v>
      </c>
      <c r="CC329" s="251" t="s">
        <v>1307</v>
      </c>
      <c r="CD329" s="251" t="s">
        <v>1308</v>
      </c>
      <c r="CE329" s="251" t="s">
        <v>1309</v>
      </c>
      <c r="CF329" s="251" t="s">
        <v>1310</v>
      </c>
      <c r="CG329" s="251" t="s">
        <v>1311</v>
      </c>
      <c r="CH329" s="251" t="s">
        <v>1312</v>
      </c>
      <c r="CI329" s="251" t="s">
        <v>1313</v>
      </c>
      <c r="CJ329" s="251" t="s">
        <v>1314</v>
      </c>
      <c r="CK329" s="251" t="s">
        <v>1315</v>
      </c>
      <c r="CL329" s="251" t="s">
        <v>1316</v>
      </c>
      <c r="CM329" s="251" t="s">
        <v>1317</v>
      </c>
      <c r="CN329" s="251" t="s">
        <v>1318</v>
      </c>
      <c r="CO329" s="251" t="s">
        <v>1319</v>
      </c>
      <c r="CP329" s="251" t="s">
        <v>1320</v>
      </c>
      <c r="CQ329" s="251" t="s">
        <v>1321</v>
      </c>
      <c r="CR329" s="251" t="s">
        <v>1322</v>
      </c>
      <c r="CS329" s="251" t="s">
        <v>1323</v>
      </c>
      <c r="CT329" s="251" t="s">
        <v>1324</v>
      </c>
      <c r="CU329" s="251" t="s">
        <v>1325</v>
      </c>
      <c r="CV329" s="251" t="s">
        <v>1326</v>
      </c>
      <c r="CW329" s="251" t="s">
        <v>1327</v>
      </c>
      <c r="CX329" s="251" t="s">
        <v>1328</v>
      </c>
      <c r="CY329" s="251" t="s">
        <v>1329</v>
      </c>
      <c r="CZ329" s="251" t="s">
        <v>1330</v>
      </c>
      <c r="DA329" s="251" t="s">
        <v>1331</v>
      </c>
      <c r="DB329" s="251" t="s">
        <v>1332</v>
      </c>
      <c r="DC329" s="251" t="s">
        <v>1333</v>
      </c>
      <c r="DD329" s="251" t="s">
        <v>1334</v>
      </c>
      <c r="DE329" s="251" t="s">
        <v>1335</v>
      </c>
      <c r="DF329" s="251" t="s">
        <v>1336</v>
      </c>
      <c r="DG329" s="251" t="s">
        <v>1337</v>
      </c>
      <c r="DH329" s="251" t="s">
        <v>1338</v>
      </c>
      <c r="DI329" s="251" t="s">
        <v>1339</v>
      </c>
      <c r="DJ329" s="251" t="s">
        <v>1340</v>
      </c>
      <c r="DK329" s="251" t="s">
        <v>1341</v>
      </c>
      <c r="DL329" s="251" t="s">
        <v>1342</v>
      </c>
      <c r="DM329" s="251" t="s">
        <v>1343</v>
      </c>
      <c r="DN329" s="251" t="s">
        <v>1344</v>
      </c>
      <c r="DO329" s="251" t="s">
        <v>1345</v>
      </c>
      <c r="DP329" s="251" t="s">
        <v>1346</v>
      </c>
      <c r="DQ329" s="251" t="s">
        <v>1347</v>
      </c>
      <c r="DR329" s="251" t="s">
        <v>1348</v>
      </c>
      <c r="DS329" s="251" t="s">
        <v>1349</v>
      </c>
      <c r="DT329" s="251" t="s">
        <v>1350</v>
      </c>
      <c r="DU329" s="251" t="s">
        <v>1351</v>
      </c>
      <c r="DV329" s="251" t="s">
        <v>1352</v>
      </c>
      <c r="DW329" s="251" t="s">
        <v>1353</v>
      </c>
      <c r="DX329" s="251" t="s">
        <v>1354</v>
      </c>
      <c r="DY329" s="251" t="s">
        <v>1355</v>
      </c>
      <c r="DZ329" s="251" t="s">
        <v>1356</v>
      </c>
      <c r="EA329" s="251" t="s">
        <v>1357</v>
      </c>
      <c r="EB329" s="251" t="s">
        <v>1358</v>
      </c>
      <c r="EC329" s="251" t="s">
        <v>1359</v>
      </c>
      <c r="ED329" s="251" t="s">
        <v>1360</v>
      </c>
      <c r="EE329" s="251" t="s">
        <v>1361</v>
      </c>
      <c r="EF329" s="251" t="s">
        <v>1362</v>
      </c>
      <c r="EG329" s="251" t="s">
        <v>1363</v>
      </c>
      <c r="EH329" s="251" t="s">
        <v>1364</v>
      </c>
      <c r="EI329" s="251" t="s">
        <v>1365</v>
      </c>
      <c r="EJ329" s="251" t="s">
        <v>1366</v>
      </c>
      <c r="EK329" s="251" t="s">
        <v>1367</v>
      </c>
      <c r="EL329" s="251" t="s">
        <v>1368</v>
      </c>
      <c r="EM329" s="251" t="s">
        <v>1369</v>
      </c>
      <c r="EN329" s="251" t="s">
        <v>1370</v>
      </c>
      <c r="EO329" s="251" t="s">
        <v>1371</v>
      </c>
      <c r="EP329" s="251" t="s">
        <v>1372</v>
      </c>
      <c r="EQ329" s="251" t="s">
        <v>1373</v>
      </c>
      <c r="ER329" s="251" t="s">
        <v>1374</v>
      </c>
      <c r="ES329" s="251" t="s">
        <v>1375</v>
      </c>
      <c r="ET329" s="251" t="s">
        <v>1376</v>
      </c>
      <c r="EU329" s="251" t="s">
        <v>1377</v>
      </c>
      <c r="EV329" s="251" t="s">
        <v>1378</v>
      </c>
      <c r="EW329" s="251" t="s">
        <v>1379</v>
      </c>
      <c r="EX329" s="251" t="s">
        <v>1380</v>
      </c>
      <c r="EY329" s="251" t="s">
        <v>1381</v>
      </c>
      <c r="EZ329" s="251" t="s">
        <v>1382</v>
      </c>
      <c r="FA329" s="251" t="s">
        <v>1383</v>
      </c>
      <c r="FB329" s="251" t="s">
        <v>1384</v>
      </c>
      <c r="FC329" s="251" t="s">
        <v>1385</v>
      </c>
      <c r="FD329" s="251" t="s">
        <v>1386</v>
      </c>
      <c r="FE329" s="251" t="s">
        <v>1387</v>
      </c>
      <c r="FF329" s="251" t="s">
        <v>1388</v>
      </c>
      <c r="FG329" s="251" t="s">
        <v>1389</v>
      </c>
      <c r="FH329" s="251" t="s">
        <v>1390</v>
      </c>
      <c r="FI329" s="251" t="s">
        <v>1391</v>
      </c>
      <c r="FJ329" s="251" t="s">
        <v>1392</v>
      </c>
      <c r="FK329" s="251" t="s">
        <v>1393</v>
      </c>
      <c r="FL329" s="251" t="s">
        <v>1394</v>
      </c>
      <c r="FM329" s="251" t="s">
        <v>1395</v>
      </c>
      <c r="FN329" s="251" t="s">
        <v>1396</v>
      </c>
      <c r="FO329" s="251" t="s">
        <v>1397</v>
      </c>
      <c r="FP329" s="251" t="s">
        <v>1398</v>
      </c>
      <c r="FQ329" s="251" t="s">
        <v>1399</v>
      </c>
      <c r="FR329" s="251" t="s">
        <v>1400</v>
      </c>
      <c r="FS329" s="251" t="s">
        <v>1401</v>
      </c>
      <c r="FT329" s="251" t="s">
        <v>1402</v>
      </c>
      <c r="FU329" s="251" t="s">
        <v>1403</v>
      </c>
      <c r="FV329" s="251" t="s">
        <v>1404</v>
      </c>
      <c r="FW329" s="251" t="s">
        <v>1405</v>
      </c>
      <c r="FX329" s="251" t="s">
        <v>1406</v>
      </c>
      <c r="FY329" s="251" t="s">
        <v>1407</v>
      </c>
      <c r="FZ329" s="251" t="s">
        <v>1408</v>
      </c>
      <c r="GA329" s="251" t="s">
        <v>1409</v>
      </c>
      <c r="GB329" s="251" t="s">
        <v>1410</v>
      </c>
      <c r="GC329" s="251" t="s">
        <v>1411</v>
      </c>
      <c r="GD329" s="251" t="s">
        <v>1412</v>
      </c>
      <c r="GE329" s="251" t="s">
        <v>1413</v>
      </c>
      <c r="GF329" s="251" t="s">
        <v>1414</v>
      </c>
      <c r="GG329" s="251" t="s">
        <v>1415</v>
      </c>
      <c r="GH329" s="251" t="s">
        <v>1416</v>
      </c>
      <c r="GI329" s="251" t="s">
        <v>1417</v>
      </c>
      <c r="GJ329" s="251" t="s">
        <v>1418</v>
      </c>
      <c r="GK329" s="251" t="s">
        <v>1419</v>
      </c>
      <c r="GL329" s="251" t="s">
        <v>1420</v>
      </c>
      <c r="GM329" s="253" t="s">
        <v>1421</v>
      </c>
      <c r="GN329" s="251" t="s">
        <v>1422</v>
      </c>
      <c r="GO329" s="251" t="s">
        <v>1423</v>
      </c>
      <c r="GP329" s="251" t="s">
        <v>1424</v>
      </c>
      <c r="GQ329" s="251" t="s">
        <v>1425</v>
      </c>
      <c r="GR329" s="251" t="s">
        <v>1426</v>
      </c>
      <c r="GS329" s="251" t="s">
        <v>1427</v>
      </c>
      <c r="GT329" s="251" t="s">
        <v>1428</v>
      </c>
      <c r="GU329" s="251" t="s">
        <v>1429</v>
      </c>
      <c r="GV329" s="251" t="s">
        <v>1430</v>
      </c>
      <c r="GW329" s="251" t="s">
        <v>1431</v>
      </c>
      <c r="GX329" s="251" t="s">
        <v>1432</v>
      </c>
      <c r="GY329" s="251" t="s">
        <v>1433</v>
      </c>
      <c r="GZ329" s="251" t="s">
        <v>1434</v>
      </c>
      <c r="HA329" s="251" t="s">
        <v>1435</v>
      </c>
      <c r="HB329" s="251" t="s">
        <v>1436</v>
      </c>
      <c r="HC329" s="251" t="s">
        <v>1437</v>
      </c>
      <c r="HD329" s="251" t="s">
        <v>1438</v>
      </c>
      <c r="HE329" s="251" t="s">
        <v>1439</v>
      </c>
      <c r="HF329" s="251" t="s">
        <v>1440</v>
      </c>
      <c r="HG329" s="251" t="s">
        <v>1441</v>
      </c>
      <c r="HH329" s="251" t="s">
        <v>1442</v>
      </c>
      <c r="HI329" s="251" t="s">
        <v>1443</v>
      </c>
      <c r="HJ329" s="251" t="s">
        <v>1444</v>
      </c>
      <c r="HK329" s="251" t="s">
        <v>1445</v>
      </c>
      <c r="HL329" s="251" t="s">
        <v>1446</v>
      </c>
      <c r="HM329" s="251" t="s">
        <v>1447</v>
      </c>
      <c r="HN329" s="251" t="s">
        <v>1448</v>
      </c>
      <c r="HO329" s="251" t="s">
        <v>1449</v>
      </c>
      <c r="HP329" s="251" t="s">
        <v>1450</v>
      </c>
      <c r="HQ329" s="251" t="s">
        <v>1451</v>
      </c>
      <c r="HR329" s="251" t="s">
        <v>1452</v>
      </c>
      <c r="HS329" s="251" t="s">
        <v>1453</v>
      </c>
      <c r="HT329" s="251" t="s">
        <v>1454</v>
      </c>
      <c r="HU329" s="251" t="s">
        <v>1455</v>
      </c>
      <c r="HV329" s="251" t="s">
        <v>1456</v>
      </c>
      <c r="HW329" s="251" t="s">
        <v>1457</v>
      </c>
      <c r="HX329" s="251" t="s">
        <v>1458</v>
      </c>
      <c r="HY329" s="251" t="s">
        <v>1459</v>
      </c>
      <c r="HZ329" s="251" t="s">
        <v>1460</v>
      </c>
      <c r="IA329" s="251" t="s">
        <v>1461</v>
      </c>
      <c r="IB329" s="251" t="s">
        <v>1462</v>
      </c>
      <c r="IC329" s="251" t="s">
        <v>1463</v>
      </c>
      <c r="ID329" s="251" t="s">
        <v>1464</v>
      </c>
      <c r="IE329" s="251" t="s">
        <v>1465</v>
      </c>
      <c r="IF329" s="251" t="s">
        <v>1466</v>
      </c>
      <c r="IG329" s="251" t="s">
        <v>1467</v>
      </c>
      <c r="IH329" s="251" t="s">
        <v>1468</v>
      </c>
      <c r="II329" s="251" t="s">
        <v>1469</v>
      </c>
      <c r="IJ329" s="251" t="s">
        <v>1470</v>
      </c>
      <c r="IK329" s="251" t="s">
        <v>1476</v>
      </c>
      <c r="IL329" s="251" t="s">
        <v>1477</v>
      </c>
      <c r="IM329" s="251" t="s">
        <v>1478</v>
      </c>
      <c r="IN329" s="251" t="s">
        <v>1479</v>
      </c>
      <c r="IO329" s="251" t="s">
        <v>1480</v>
      </c>
      <c r="IP329" s="251" t="s">
        <v>1481</v>
      </c>
      <c r="IQ329" s="251" t="s">
        <v>1482</v>
      </c>
      <c r="IR329" s="251" t="s">
        <v>1483</v>
      </c>
      <c r="IS329" s="251" t="s">
        <v>1484</v>
      </c>
      <c r="IT329" s="251" t="s">
        <v>1485</v>
      </c>
      <c r="IU329" s="251" t="s">
        <v>1486</v>
      </c>
      <c r="IV329" s="251" t="s">
        <v>1487</v>
      </c>
      <c r="IW329" s="251" t="s">
        <v>1489</v>
      </c>
      <c r="IX329" s="251" t="s">
        <v>1490</v>
      </c>
      <c r="IY329" s="251" t="s">
        <v>1491</v>
      </c>
      <c r="IZ329" s="251" t="s">
        <v>1492</v>
      </c>
      <c r="JA329" s="251" t="s">
        <v>1493</v>
      </c>
      <c r="JB329" s="251" t="s">
        <v>1494</v>
      </c>
      <c r="JC329" s="251" t="s">
        <v>1495</v>
      </c>
      <c r="JD329" s="251" t="s">
        <v>1496</v>
      </c>
      <c r="JE329" s="251" t="s">
        <v>1497</v>
      </c>
      <c r="JF329" s="251" t="s">
        <v>1498</v>
      </c>
      <c r="JG329" s="251" t="s">
        <v>1499</v>
      </c>
      <c r="JH329" s="251" t="s">
        <v>1500</v>
      </c>
      <c r="JI329" s="251" t="s">
        <v>1501</v>
      </c>
      <c r="JJ329" s="251" t="s">
        <v>1502</v>
      </c>
      <c r="JK329" s="251" t="s">
        <v>1503</v>
      </c>
      <c r="JL329" s="251" t="s">
        <v>1504</v>
      </c>
      <c r="JM329" s="251" t="s">
        <v>1505</v>
      </c>
      <c r="JN329" s="251" t="s">
        <v>1506</v>
      </c>
      <c r="JO329" s="251" t="s">
        <v>1507</v>
      </c>
      <c r="JP329" s="251" t="s">
        <v>1508</v>
      </c>
      <c r="JQ329" s="251" t="s">
        <v>1509</v>
      </c>
      <c r="JR329" s="251" t="s">
        <v>1510</v>
      </c>
      <c r="JS329" s="251" t="s">
        <v>1511</v>
      </c>
      <c r="JT329" s="251" t="s">
        <v>1512</v>
      </c>
      <c r="JU329" s="251" t="s">
        <v>1513</v>
      </c>
      <c r="JV329" s="251" t="s">
        <v>1514</v>
      </c>
      <c r="JW329" s="251" t="s">
        <v>1515</v>
      </c>
      <c r="JX329" s="251" t="s">
        <v>1516</v>
      </c>
      <c r="JY329" s="251" t="s">
        <v>1517</v>
      </c>
      <c r="JZ329" s="251" t="s">
        <v>1518</v>
      </c>
      <c r="KA329" s="251" t="s">
        <v>1519</v>
      </c>
      <c r="KB329" s="251" t="s">
        <v>1520</v>
      </c>
      <c r="KC329" s="251" t="s">
        <v>1521</v>
      </c>
      <c r="KD329" s="251" t="s">
        <v>1522</v>
      </c>
      <c r="KE329" s="251" t="s">
        <v>1523</v>
      </c>
      <c r="KF329" s="251" t="s">
        <v>1524</v>
      </c>
      <c r="KG329" s="251" t="s">
        <v>1525</v>
      </c>
      <c r="KH329" s="251" t="s">
        <v>1526</v>
      </c>
      <c r="KI329" s="251" t="s">
        <v>1527</v>
      </c>
      <c r="KJ329" s="251" t="s">
        <v>1528</v>
      </c>
      <c r="KK329" s="251" t="s">
        <v>1529</v>
      </c>
      <c r="KL329" s="251" t="s">
        <v>1530</v>
      </c>
      <c r="KM329" s="251" t="s">
        <v>1531</v>
      </c>
      <c r="KN329" s="251" t="s">
        <v>1532</v>
      </c>
      <c r="KO329" s="251" t="s">
        <v>1533</v>
      </c>
      <c r="KP329" s="251" t="s">
        <v>1534</v>
      </c>
      <c r="KQ329" s="251" t="s">
        <v>1535</v>
      </c>
      <c r="KR329" s="251" t="s">
        <v>1536</v>
      </c>
      <c r="KS329" s="251" t="s">
        <v>1537</v>
      </c>
      <c r="KT329" s="251" t="s">
        <v>1538</v>
      </c>
      <c r="KU329" s="251" t="s">
        <v>1539</v>
      </c>
      <c r="KV329" s="251" t="s">
        <v>1718</v>
      </c>
      <c r="KW329" s="251" t="s">
        <v>1719</v>
      </c>
      <c r="KX329" s="251" t="s">
        <v>1720</v>
      </c>
      <c r="KY329" s="251" t="s">
        <v>1721</v>
      </c>
      <c r="KZ329" s="251" t="s">
        <v>1722</v>
      </c>
      <c r="LA329" s="251" t="s">
        <v>1723</v>
      </c>
      <c r="LB329" s="251" t="s">
        <v>1724</v>
      </c>
      <c r="LC329" s="251" t="s">
        <v>1725</v>
      </c>
      <c r="LD329" s="251" t="s">
        <v>1726</v>
      </c>
      <c r="LE329" s="251" t="s">
        <v>1727</v>
      </c>
      <c r="LF329" s="251" t="s">
        <v>1540</v>
      </c>
      <c r="LG329" s="251" t="s">
        <v>1541</v>
      </c>
      <c r="LH329" s="251" t="s">
        <v>1542</v>
      </c>
      <c r="LI329" s="251" t="s">
        <v>1543</v>
      </c>
      <c r="LJ329" s="251" t="s">
        <v>1544</v>
      </c>
      <c r="LK329" s="251" t="s">
        <v>1545</v>
      </c>
      <c r="LL329" s="251" t="s">
        <v>1546</v>
      </c>
      <c r="LM329" s="251" t="s">
        <v>1547</v>
      </c>
      <c r="LN329" s="251" t="s">
        <v>1548</v>
      </c>
      <c r="LO329" s="251" t="s">
        <v>1549</v>
      </c>
      <c r="LP329" s="251" t="s">
        <v>1550</v>
      </c>
      <c r="LQ329" s="251" t="s">
        <v>1551</v>
      </c>
      <c r="LR329" s="251" t="s">
        <v>1552</v>
      </c>
      <c r="LS329" s="251" t="s">
        <v>1553</v>
      </c>
      <c r="LT329" s="251" t="s">
        <v>1554</v>
      </c>
      <c r="LU329" s="251" t="s">
        <v>1555</v>
      </c>
      <c r="LV329" s="251" t="s">
        <v>1556</v>
      </c>
      <c r="LW329" s="251" t="s">
        <v>1557</v>
      </c>
      <c r="LX329" s="251" t="s">
        <v>1558</v>
      </c>
      <c r="LY329" s="251" t="s">
        <v>1559</v>
      </c>
      <c r="LZ329" s="251" t="s">
        <v>1560</v>
      </c>
      <c r="MA329" s="251" t="s">
        <v>1561</v>
      </c>
      <c r="MB329" s="251" t="s">
        <v>1562</v>
      </c>
      <c r="MC329" s="251" t="s">
        <v>1563</v>
      </c>
      <c r="MD329" s="251" t="s">
        <v>1564</v>
      </c>
      <c r="ME329" s="251" t="s">
        <v>1565</v>
      </c>
      <c r="MF329" s="251" t="s">
        <v>1566</v>
      </c>
      <c r="MG329" s="251" t="s">
        <v>1567</v>
      </c>
      <c r="MH329" s="251" t="s">
        <v>1568</v>
      </c>
      <c r="MI329" s="251" t="s">
        <v>1569</v>
      </c>
      <c r="MJ329" s="251" t="s">
        <v>1570</v>
      </c>
      <c r="MK329" s="251" t="s">
        <v>1571</v>
      </c>
      <c r="MN329" s="251" t="s">
        <v>1572</v>
      </c>
      <c r="MO329" s="251" t="s">
        <v>1575</v>
      </c>
      <c r="MP329" s="251" t="s">
        <v>1576</v>
      </c>
      <c r="MQ329" s="251" t="s">
        <v>1577</v>
      </c>
      <c r="MR329" s="251" t="s">
        <v>1578</v>
      </c>
      <c r="MS329" s="251" t="s">
        <v>1579</v>
      </c>
      <c r="MT329" s="251" t="s">
        <v>1580</v>
      </c>
      <c r="MU329" s="251" t="s">
        <v>1581</v>
      </c>
      <c r="MV329" s="251" t="s">
        <v>1582</v>
      </c>
      <c r="MW329" s="251" t="s">
        <v>1583</v>
      </c>
      <c r="MX329" s="251" t="s">
        <v>1584</v>
      </c>
      <c r="MY329" s="251" t="s">
        <v>1585</v>
      </c>
      <c r="MZ329" s="251" t="s">
        <v>1586</v>
      </c>
      <c r="NA329" s="251" t="s">
        <v>1587</v>
      </c>
      <c r="NB329" s="251" t="s">
        <v>1588</v>
      </c>
      <c r="NC329" s="251" t="s">
        <v>1589</v>
      </c>
      <c r="ND329" s="251" t="s">
        <v>1590</v>
      </c>
      <c r="NE329" s="251" t="s">
        <v>1591</v>
      </c>
      <c r="NF329" s="251" t="s">
        <v>1592</v>
      </c>
      <c r="NG329" s="251" t="s">
        <v>1593</v>
      </c>
      <c r="NH329" s="251" t="s">
        <v>1594</v>
      </c>
      <c r="NI329" s="251" t="s">
        <v>1595</v>
      </c>
      <c r="NJ329" s="251" t="s">
        <v>1596</v>
      </c>
      <c r="NK329" s="251" t="s">
        <v>1597</v>
      </c>
      <c r="NL329" s="251" t="s">
        <v>1598</v>
      </c>
      <c r="NM329" s="251" t="s">
        <v>1599</v>
      </c>
      <c r="NN329" s="251" t="s">
        <v>1600</v>
      </c>
      <c r="NO329" s="251" t="s">
        <v>1601</v>
      </c>
      <c r="NP329" s="251" t="s">
        <v>1602</v>
      </c>
      <c r="NQ329" s="251" t="s">
        <v>1603</v>
      </c>
      <c r="NR329" s="251" t="s">
        <v>1604</v>
      </c>
      <c r="NS329" s="251" t="s">
        <v>1605</v>
      </c>
      <c r="NT329" s="251" t="s">
        <v>1606</v>
      </c>
      <c r="NU329" s="251" t="s">
        <v>1607</v>
      </c>
      <c r="NV329" s="251" t="s">
        <v>1608</v>
      </c>
      <c r="NW329" s="251" t="s">
        <v>1609</v>
      </c>
      <c r="NX329" s="251" t="s">
        <v>1610</v>
      </c>
      <c r="NY329" s="251" t="s">
        <v>1611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10" zoomScaleNormal="100" workbookViewId="0">
      <selection activeCell="D43" sqref="D43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18" t="str">
        <f>CONCATENATE("FY ",Notes!$B$1," Summary of State Aid Payments to School Districts")</f>
        <v>FY 2026 Summary of State Aid Payments to School Districts</v>
      </c>
      <c r="B1" s="319"/>
      <c r="C1" s="319"/>
      <c r="D1" s="319"/>
      <c r="E1" s="320"/>
      <c r="F1" s="60"/>
    </row>
    <row r="2" spans="1:25" ht="19.5" customHeight="1" x14ac:dyDescent="0.3">
      <c r="A2" s="62"/>
      <c r="B2" s="63" t="s">
        <v>775</v>
      </c>
      <c r="C2" s="321"/>
      <c r="D2" s="321"/>
      <c r="E2" s="32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-10960323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-815860</v>
      </c>
      <c r="D11" s="81"/>
      <c r="E11" s="82"/>
      <c r="F11" s="83"/>
      <c r="G11" s="120"/>
      <c r="H11" s="122"/>
      <c r="I11" s="323" t="str">
        <f>CONCATENATE("FY ",Notes!$B$1," Budget for State Payments to School Districts by Month by Source")</f>
        <v>FY 2026 Budget for State Payments to School Districts by Month by Source</v>
      </c>
      <c r="J11" s="323"/>
      <c r="K11" s="323"/>
      <c r="L11" s="323"/>
      <c r="M11" s="323"/>
      <c r="N11" s="323"/>
      <c r="O11" s="323"/>
      <c r="P11" s="323"/>
      <c r="Q11" s="324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718520</v>
      </c>
      <c r="D12" s="81">
        <f>SUM(C8:C12)</f>
        <v>-17174911</v>
      </c>
      <c r="E12" s="82"/>
      <c r="F12" s="83"/>
      <c r="G12" s="120"/>
      <c r="H12" s="125"/>
      <c r="I12" s="281"/>
      <c r="J12" s="281"/>
      <c r="K12" s="281"/>
      <c r="L12" s="281"/>
      <c r="M12" s="281"/>
      <c r="N12" s="281"/>
      <c r="O12" s="281"/>
      <c r="P12" s="281"/>
      <c r="Q12" s="325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3910740063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6" t="s">
        <v>696</v>
      </c>
      <c r="J14" s="316" t="str">
        <f>Data!$M$1</f>
        <v>Preschool State Aid (Code 3117)</v>
      </c>
      <c r="K14" s="316" t="str">
        <f>Data!N1</f>
        <v>Teacher Salary (Code 3204)</v>
      </c>
      <c r="L14" s="316" t="str">
        <f>Data!O1</f>
        <v>Early Intervention (Code 3216)</v>
      </c>
      <c r="M14" s="316" t="str">
        <f>Data!P1</f>
        <v>Professional Development (Code 3376)</v>
      </c>
      <c r="N14" s="316" t="str">
        <f>Data!Q1</f>
        <v>Teacher Leadership (Code 3116)</v>
      </c>
      <c r="O14" s="316" t="s">
        <v>744</v>
      </c>
      <c r="P14" s="316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6"/>
      <c r="J15" s="316"/>
      <c r="K15" s="316"/>
      <c r="L15" s="316"/>
      <c r="M15" s="316"/>
      <c r="N15" s="316"/>
      <c r="O15" s="316"/>
      <c r="P15" s="316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7"/>
      <c r="J16" s="317"/>
      <c r="K16" s="317"/>
      <c r="L16" s="317"/>
      <c r="M16" s="317"/>
      <c r="N16" s="317"/>
      <c r="O16" s="317"/>
      <c r="P16" s="317"/>
      <c r="Q16" s="128"/>
    </row>
    <row r="17" spans="1:17" ht="15.75" customHeight="1" x14ac:dyDescent="0.25">
      <c r="A17" s="79"/>
      <c r="B17" s="176" t="str">
        <f>Notes!A38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Notes!A39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Notes!A40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Notes!A41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Notes!A42</f>
        <v>1/17/2026</v>
      </c>
      <c r="C21" s="87"/>
      <c r="D21" s="81">
        <f>INDEX(Data[],MATCH($B$3,Data[Dist],0),MATCH($G21,Data[#Headers],0))</f>
        <v>390353064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309334870</v>
      </c>
      <c r="P21" s="81">
        <f t="shared" si="1"/>
        <v>390353064</v>
      </c>
      <c r="Q21" s="128"/>
    </row>
    <row r="22" spans="1:17" ht="15.75" customHeight="1" x14ac:dyDescent="0.25">
      <c r="A22" s="79"/>
      <c r="B22" s="176" t="str">
        <f>Notes!A43</f>
        <v>2/20/2026</v>
      </c>
      <c r="C22" s="87"/>
      <c r="D22" s="81">
        <f>INDEX(Data[],MATCH($B$3,Data[Dist],0),MATCH($G22,Data[#Headers],0))</f>
        <v>390353064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309334870</v>
      </c>
      <c r="P22" s="81">
        <f t="shared" si="1"/>
        <v>390353064</v>
      </c>
      <c r="Q22" s="128"/>
    </row>
    <row r="23" spans="1:17" ht="15.75" customHeight="1" x14ac:dyDescent="0.25">
      <c r="A23" s="79"/>
      <c r="B23" s="176" t="str">
        <f>Notes!A44</f>
        <v>3/19/2026</v>
      </c>
      <c r="C23" s="87"/>
      <c r="D23" s="81">
        <f>INDEX(Data[],MATCH($B$3,Data[Dist],0),MATCH($G23,Data[#Headers],0))</f>
        <v>390149097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309130903</v>
      </c>
      <c r="P23" s="81">
        <f t="shared" si="1"/>
        <v>390149097</v>
      </c>
      <c r="Q23" s="128"/>
    </row>
    <row r="24" spans="1:17" ht="15.75" customHeight="1" x14ac:dyDescent="0.25">
      <c r="A24" s="79"/>
      <c r="B24" s="176" t="str">
        <f>Notes!A45</f>
        <v>4/17/2026</v>
      </c>
      <c r="C24" s="87"/>
      <c r="D24" s="81">
        <f>INDEX(Data[],MATCH($B$3,Data[Dist],0),MATCH($G24,Data[#Headers],0))</f>
        <v>390149097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309130903</v>
      </c>
      <c r="P24" s="81">
        <f t="shared" si="1"/>
        <v>390149097</v>
      </c>
      <c r="Q24" s="128"/>
    </row>
    <row r="25" spans="1:17" ht="15.75" customHeight="1" x14ac:dyDescent="0.25">
      <c r="A25" s="79"/>
      <c r="B25" s="176" t="str">
        <f>Notes!A46</f>
        <v>5/19/2026</v>
      </c>
      <c r="C25" s="87"/>
      <c r="D25" s="81">
        <f>INDEX(Data[],MATCH($B$3,Data[Dist],0),MATCH($G25,Data[#Headers],0))</f>
        <v>390149097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309130903</v>
      </c>
      <c r="P25" s="81">
        <f t="shared" si="1"/>
        <v>390149097</v>
      </c>
      <c r="Q25" s="128"/>
    </row>
    <row r="26" spans="1:17" ht="15.75" customHeight="1" x14ac:dyDescent="0.25">
      <c r="A26" s="79"/>
      <c r="B26" s="176" t="str">
        <f>Notes!A47</f>
        <v>6/18/2026</v>
      </c>
      <c r="C26" s="87"/>
      <c r="D26" s="81">
        <f>INDEX(Data[],MATCH($B$3,Data[Dist],0),MATCH($G26,Data[#Headers],0))</f>
        <v>390148952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9093162</v>
      </c>
      <c r="K26" s="81">
        <f>INDEX('Payment by Source'!$A$6:$K$331,MATCH(PaymentSummary!$B$3,'Payment by Source'!$A$6:$A$331,0),MATCH(S$14,'Payment by Source'!$A$4:$K$4,0))</f>
        <v>44070796</v>
      </c>
      <c r="L26" s="81">
        <f>INDEX('Payment by Source'!$A$6:$K$331,MATCH(PaymentSummary!$B$3,'Payment by Source'!$A$6:$A$331,0),MATCH(T$14,'Payment by Source'!$A$4:$K$4,0))</f>
        <v>4283688</v>
      </c>
      <c r="M26" s="81">
        <f>INDEX('Payment by Source'!$A$6:$K$331,MATCH(PaymentSummary!$B$3,'Payment by Source'!$A$6:$A$331,0),MATCH(U$14,'Payment by Source'!$A$4:$K$4,0))</f>
        <v>3939164</v>
      </c>
      <c r="N26" s="81">
        <f>INDEX('Payment by Source'!$A$6:$K$331,MATCH(PaymentSummary!$B$3,'Payment by Source'!$A$6:$A$331,0),MATCH(V$14,'Payment by Source'!$A$4:$K$4,0))</f>
        <v>19630712</v>
      </c>
      <c r="O26" s="81">
        <f>INDEX('Payment by Source'!$A$6:$K$331,MATCH(PaymentSummary!$B$3,'Payment by Source'!$A$6:$A$331,0),MATCH(W$14,'Payment by Source'!$A$4:$K$4,0))</f>
        <v>297207643</v>
      </c>
      <c r="P26" s="81">
        <f t="shared" si="1"/>
        <v>390148952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718520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3087916488</v>
      </c>
      <c r="P27" s="85">
        <f>SUM(P17:P26)</f>
        <v>3910021543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3910740063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13" t="s">
        <v>782</v>
      </c>
      <c r="K34" s="313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14"/>
      <c r="K35" s="314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15"/>
      <c r="K36" s="31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7" t="str">
        <f>_xlfn.CONCAT("School District Income Surtax Payment - FY ",Notes!$B$1)</f>
        <v>School District Income Surtax Payment - FY 2026</v>
      </c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</row>
    <row r="2" spans="1:22" x14ac:dyDescent="0.25">
      <c r="A2" s="165"/>
      <c r="B2" s="165"/>
      <c r="C2" s="166"/>
      <c r="D2" s="165"/>
      <c r="E2" s="165"/>
      <c r="F2" s="167"/>
      <c r="G2" s="327" t="str">
        <f>_xlfn.CONCAT("Based upon income surtax rates in FY ",Notes!B1-1," budgets")</f>
        <v>Based upon income surtax rates in FY 2025 budgets</v>
      </c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6" t="str">
        <f>CONCATENATE("First Payment - 12/01/",Notes!$B$1-1)</f>
        <v>First Payment - 12/01/2025</v>
      </c>
      <c r="L4" s="326"/>
      <c r="M4" s="326"/>
      <c r="N4" s="168"/>
      <c r="O4" s="326" t="str">
        <f>CONCATENATE("Second Payment - 02/01/",Notes!$B$1)</f>
        <v>Second Payment - 02/01/2026</v>
      </c>
      <c r="P4" s="326"/>
      <c r="Q4" s="326"/>
      <c r="R4" s="153"/>
      <c r="S4" s="326" t="s">
        <v>779</v>
      </c>
      <c r="T4" s="326"/>
      <c r="U4" s="326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A2" sqref="A2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2026 Special Education Deficit Payment
Based on FY 2025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2026</v>
      </c>
      <c r="B3" s="180" t="s">
        <v>19</v>
      </c>
      <c r="C3" s="181" t="s">
        <v>19</v>
      </c>
      <c r="D3" s="180" t="s">
        <v>373</v>
      </c>
      <c r="E3" s="182">
        <v>358</v>
      </c>
    </row>
    <row r="4" spans="1:8" x14ac:dyDescent="0.25">
      <c r="A4" s="179">
        <v>2026</v>
      </c>
      <c r="B4" s="180" t="s">
        <v>20</v>
      </c>
      <c r="C4" s="181" t="s">
        <v>20</v>
      </c>
      <c r="D4" s="180" t="s">
        <v>374</v>
      </c>
      <c r="E4" s="182">
        <v>2002</v>
      </c>
    </row>
    <row r="5" spans="1:8" x14ac:dyDescent="0.25">
      <c r="A5" s="179">
        <v>2026</v>
      </c>
      <c r="B5" s="180" t="s">
        <v>18</v>
      </c>
      <c r="C5" s="181" t="s">
        <v>18</v>
      </c>
      <c r="D5" s="180" t="s">
        <v>0</v>
      </c>
      <c r="E5" s="182">
        <v>924</v>
      </c>
    </row>
    <row r="6" spans="1:8" x14ac:dyDescent="0.25">
      <c r="A6" s="179">
        <v>2026</v>
      </c>
      <c r="B6" s="180" t="s">
        <v>39</v>
      </c>
      <c r="C6" s="181" t="s">
        <v>39</v>
      </c>
      <c r="D6" s="180" t="s">
        <v>17</v>
      </c>
      <c r="E6" s="182">
        <v>1437</v>
      </c>
    </row>
    <row r="7" spans="1:8" x14ac:dyDescent="0.25">
      <c r="A7" s="179">
        <v>2026</v>
      </c>
      <c r="B7" s="180" t="s">
        <v>21</v>
      </c>
      <c r="C7" s="181" t="s">
        <v>21</v>
      </c>
      <c r="D7" s="180" t="s">
        <v>375</v>
      </c>
      <c r="E7" s="182">
        <v>860</v>
      </c>
    </row>
    <row r="8" spans="1:8" x14ac:dyDescent="0.25">
      <c r="A8" s="179">
        <v>2026</v>
      </c>
      <c r="B8" s="180" t="s">
        <v>22</v>
      </c>
      <c r="C8" s="181" t="s">
        <v>22</v>
      </c>
      <c r="D8" s="180" t="s">
        <v>376</v>
      </c>
      <c r="E8" s="182">
        <v>616</v>
      </c>
    </row>
    <row r="9" spans="1:8" x14ac:dyDescent="0.25">
      <c r="A9" s="179">
        <v>2026</v>
      </c>
      <c r="B9" s="180" t="s">
        <v>23</v>
      </c>
      <c r="C9" s="181" t="s">
        <v>23</v>
      </c>
      <c r="D9" s="180" t="s">
        <v>377</v>
      </c>
      <c r="E9" s="182">
        <v>1021</v>
      </c>
    </row>
    <row r="10" spans="1:8" x14ac:dyDescent="0.25">
      <c r="A10" s="179">
        <v>2026</v>
      </c>
      <c r="B10" s="180" t="s">
        <v>24</v>
      </c>
      <c r="C10" s="181" t="s">
        <v>24</v>
      </c>
      <c r="D10" s="180" t="s">
        <v>378</v>
      </c>
      <c r="E10" s="182">
        <v>298</v>
      </c>
    </row>
    <row r="11" spans="1:8" x14ac:dyDescent="0.25">
      <c r="A11" s="179">
        <v>2026</v>
      </c>
      <c r="B11" s="180" t="s">
        <v>25</v>
      </c>
      <c r="C11" s="181" t="s">
        <v>25</v>
      </c>
      <c r="D11" s="180" t="s">
        <v>379</v>
      </c>
      <c r="E11" s="182">
        <v>479</v>
      </c>
    </row>
    <row r="12" spans="1:8" x14ac:dyDescent="0.25">
      <c r="A12" s="179">
        <v>2026</v>
      </c>
      <c r="B12" s="180" t="s">
        <v>26</v>
      </c>
      <c r="C12" s="181" t="s">
        <v>26</v>
      </c>
      <c r="D12" s="180" t="s">
        <v>380</v>
      </c>
      <c r="E12" s="182">
        <v>4727</v>
      </c>
    </row>
    <row r="13" spans="1:8" x14ac:dyDescent="0.25">
      <c r="A13" s="179">
        <v>2026</v>
      </c>
      <c r="B13" s="180" t="s">
        <v>27</v>
      </c>
      <c r="C13" s="181" t="s">
        <v>27</v>
      </c>
      <c r="D13" s="180" t="s">
        <v>381</v>
      </c>
      <c r="E13" s="182">
        <v>1850</v>
      </c>
    </row>
    <row r="14" spans="1:8" x14ac:dyDescent="0.25">
      <c r="A14" s="179">
        <v>2026</v>
      </c>
      <c r="B14" s="180" t="s">
        <v>29</v>
      </c>
      <c r="C14" s="181" t="s">
        <v>29</v>
      </c>
      <c r="D14" s="180" t="s">
        <v>786</v>
      </c>
      <c r="E14" s="182">
        <v>899</v>
      </c>
    </row>
    <row r="15" spans="1:8" x14ac:dyDescent="0.25">
      <c r="A15" s="179">
        <v>2026</v>
      </c>
      <c r="B15" s="180" t="s">
        <v>30</v>
      </c>
      <c r="C15" s="181" t="s">
        <v>30</v>
      </c>
      <c r="D15" s="180" t="s">
        <v>383</v>
      </c>
      <c r="E15" s="182">
        <v>11067</v>
      </c>
    </row>
    <row r="16" spans="1:8" x14ac:dyDescent="0.25">
      <c r="A16" s="179">
        <v>2026</v>
      </c>
      <c r="B16" s="180" t="s">
        <v>31</v>
      </c>
      <c r="C16" s="181" t="s">
        <v>31</v>
      </c>
      <c r="D16" s="180" t="s">
        <v>384</v>
      </c>
      <c r="E16" s="182">
        <v>153</v>
      </c>
    </row>
    <row r="17" spans="1:5" x14ac:dyDescent="0.25">
      <c r="A17" s="179">
        <v>2026</v>
      </c>
      <c r="B17" s="180" t="s">
        <v>32</v>
      </c>
      <c r="C17" s="181" t="s">
        <v>32</v>
      </c>
      <c r="D17" s="180" t="s">
        <v>385</v>
      </c>
      <c r="E17" s="182">
        <v>862</v>
      </c>
    </row>
    <row r="18" spans="1:5" x14ac:dyDescent="0.25">
      <c r="A18" s="179">
        <v>2026</v>
      </c>
      <c r="B18" s="180" t="s">
        <v>33</v>
      </c>
      <c r="C18" s="181" t="s">
        <v>33</v>
      </c>
      <c r="D18" s="180" t="s">
        <v>386</v>
      </c>
      <c r="E18" s="182">
        <v>18777</v>
      </c>
    </row>
    <row r="19" spans="1:5" x14ac:dyDescent="0.25">
      <c r="A19" s="179">
        <v>2026</v>
      </c>
      <c r="B19" s="180" t="s">
        <v>34</v>
      </c>
      <c r="C19" s="181" t="s">
        <v>34</v>
      </c>
      <c r="D19" s="180" t="s">
        <v>387</v>
      </c>
      <c r="E19" s="182">
        <v>475</v>
      </c>
    </row>
    <row r="20" spans="1:5" x14ac:dyDescent="0.25">
      <c r="A20" s="179">
        <v>2026</v>
      </c>
      <c r="B20" s="180" t="s">
        <v>36</v>
      </c>
      <c r="C20" s="181" t="s">
        <v>36</v>
      </c>
      <c r="D20" s="180" t="s">
        <v>389</v>
      </c>
      <c r="E20" s="182">
        <v>18</v>
      </c>
    </row>
    <row r="21" spans="1:5" x14ac:dyDescent="0.25">
      <c r="A21" s="179">
        <v>2026</v>
      </c>
      <c r="B21" s="180" t="s">
        <v>37</v>
      </c>
      <c r="C21" s="181" t="s">
        <v>37</v>
      </c>
      <c r="D21" s="180" t="s">
        <v>390</v>
      </c>
      <c r="E21" s="182">
        <v>2034</v>
      </c>
    </row>
    <row r="22" spans="1:5" x14ac:dyDescent="0.25">
      <c r="A22" s="179">
        <v>2026</v>
      </c>
      <c r="B22" s="180" t="s">
        <v>38</v>
      </c>
      <c r="C22" s="181" t="s">
        <v>38</v>
      </c>
      <c r="D22" s="180" t="s">
        <v>391</v>
      </c>
      <c r="E22" s="182">
        <v>275</v>
      </c>
    </row>
    <row r="23" spans="1:5" x14ac:dyDescent="0.25">
      <c r="A23" s="179">
        <v>2026</v>
      </c>
      <c r="B23" s="180" t="s">
        <v>40</v>
      </c>
      <c r="C23" s="181" t="s">
        <v>40</v>
      </c>
      <c r="D23" s="180" t="s">
        <v>392</v>
      </c>
      <c r="E23" s="182">
        <v>2976</v>
      </c>
    </row>
    <row r="24" spans="1:5" x14ac:dyDescent="0.25">
      <c r="A24" s="179">
        <v>2026</v>
      </c>
      <c r="B24" s="180" t="s">
        <v>41</v>
      </c>
      <c r="C24" s="181" t="s">
        <v>41</v>
      </c>
      <c r="D24" s="180" t="s">
        <v>393</v>
      </c>
      <c r="E24" s="182">
        <v>449</v>
      </c>
    </row>
    <row r="25" spans="1:5" x14ac:dyDescent="0.25">
      <c r="A25" s="179">
        <v>2026</v>
      </c>
      <c r="B25" s="180" t="s">
        <v>42</v>
      </c>
      <c r="C25" s="181" t="s">
        <v>42</v>
      </c>
      <c r="D25" s="180" t="s">
        <v>1</v>
      </c>
      <c r="E25" s="182">
        <v>902</v>
      </c>
    </row>
    <row r="26" spans="1:5" x14ac:dyDescent="0.25">
      <c r="A26" s="179">
        <v>2026</v>
      </c>
      <c r="B26" s="180" t="s">
        <v>43</v>
      </c>
      <c r="C26" s="181" t="s">
        <v>43</v>
      </c>
      <c r="D26" s="180" t="s">
        <v>394</v>
      </c>
      <c r="E26" s="182">
        <v>440</v>
      </c>
    </row>
    <row r="27" spans="1:5" x14ac:dyDescent="0.25">
      <c r="A27" s="179">
        <v>2026</v>
      </c>
      <c r="B27" s="180" t="s">
        <v>44</v>
      </c>
      <c r="C27" s="181" t="s">
        <v>44</v>
      </c>
      <c r="D27" s="180" t="s">
        <v>395</v>
      </c>
      <c r="E27" s="182">
        <v>678</v>
      </c>
    </row>
    <row r="28" spans="1:5" x14ac:dyDescent="0.25">
      <c r="A28" s="179">
        <v>2026</v>
      </c>
      <c r="B28" s="180" t="s">
        <v>45</v>
      </c>
      <c r="C28" s="181" t="s">
        <v>45</v>
      </c>
      <c r="D28" s="180" t="s">
        <v>396</v>
      </c>
      <c r="E28" s="182">
        <v>936</v>
      </c>
    </row>
    <row r="29" spans="1:5" x14ac:dyDescent="0.25">
      <c r="A29" s="179">
        <v>2026</v>
      </c>
      <c r="B29" s="180" t="s">
        <v>46</v>
      </c>
      <c r="C29" s="181" t="s">
        <v>46</v>
      </c>
      <c r="D29" s="180" t="s">
        <v>397</v>
      </c>
      <c r="E29" s="182">
        <v>2305</v>
      </c>
    </row>
    <row r="30" spans="1:5" x14ac:dyDescent="0.25">
      <c r="A30" s="179">
        <v>2026</v>
      </c>
      <c r="B30" s="180" t="s">
        <v>47</v>
      </c>
      <c r="C30" s="181" t="s">
        <v>47</v>
      </c>
      <c r="D30" s="180" t="s">
        <v>398</v>
      </c>
      <c r="E30" s="182">
        <v>255</v>
      </c>
    </row>
    <row r="31" spans="1:5" x14ac:dyDescent="0.25">
      <c r="A31" s="179">
        <v>2026</v>
      </c>
      <c r="B31" s="180" t="s">
        <v>48</v>
      </c>
      <c r="C31" s="181" t="s">
        <v>48</v>
      </c>
      <c r="D31" s="180" t="s">
        <v>399</v>
      </c>
      <c r="E31" s="182">
        <v>1609</v>
      </c>
    </row>
    <row r="32" spans="1:5" x14ac:dyDescent="0.25">
      <c r="A32" s="179">
        <v>2026</v>
      </c>
      <c r="B32" s="180" t="s">
        <v>49</v>
      </c>
      <c r="C32" s="181" t="s">
        <v>49</v>
      </c>
      <c r="D32" s="180" t="s">
        <v>400</v>
      </c>
      <c r="E32" s="182">
        <v>197</v>
      </c>
    </row>
    <row r="33" spans="1:5" x14ac:dyDescent="0.25">
      <c r="A33" s="179">
        <v>2026</v>
      </c>
      <c r="B33" s="180" t="s">
        <v>51</v>
      </c>
      <c r="C33" s="181" t="s">
        <v>51</v>
      </c>
      <c r="D33" s="180" t="s">
        <v>402</v>
      </c>
      <c r="E33" s="182">
        <v>4978</v>
      </c>
    </row>
    <row r="34" spans="1:5" x14ac:dyDescent="0.25">
      <c r="A34" s="179">
        <v>2026</v>
      </c>
      <c r="B34" s="180" t="s">
        <v>52</v>
      </c>
      <c r="C34" s="181" t="s">
        <v>52</v>
      </c>
      <c r="D34" s="180" t="s">
        <v>403</v>
      </c>
      <c r="E34" s="182">
        <v>1402</v>
      </c>
    </row>
    <row r="35" spans="1:5" x14ac:dyDescent="0.25">
      <c r="A35" s="179">
        <v>2026</v>
      </c>
      <c r="B35" s="180" t="s">
        <v>53</v>
      </c>
      <c r="C35" s="181" t="s">
        <v>53</v>
      </c>
      <c r="D35" s="180" t="s">
        <v>404</v>
      </c>
      <c r="E35" s="182">
        <v>548</v>
      </c>
    </row>
    <row r="36" spans="1:5" x14ac:dyDescent="0.25">
      <c r="A36" s="179">
        <v>2026</v>
      </c>
      <c r="B36" s="180" t="s">
        <v>109</v>
      </c>
      <c r="C36" s="181" t="s">
        <v>109</v>
      </c>
      <c r="D36" s="180" t="s">
        <v>458</v>
      </c>
      <c r="E36" s="182">
        <v>1241</v>
      </c>
    </row>
    <row r="37" spans="1:5" x14ac:dyDescent="0.25">
      <c r="A37" s="179">
        <v>2026</v>
      </c>
      <c r="B37" s="180" t="s">
        <v>55</v>
      </c>
      <c r="C37" s="181" t="s">
        <v>55</v>
      </c>
      <c r="D37" s="180" t="s">
        <v>406</v>
      </c>
      <c r="E37" s="182">
        <v>49</v>
      </c>
    </row>
    <row r="38" spans="1:5" x14ac:dyDescent="0.25">
      <c r="A38" s="179">
        <v>2026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2026</v>
      </c>
      <c r="B39" s="180" t="s">
        <v>59</v>
      </c>
      <c r="C39" s="181" t="s">
        <v>59</v>
      </c>
      <c r="D39" s="180" t="s">
        <v>3</v>
      </c>
      <c r="E39" s="182">
        <v>225</v>
      </c>
    </row>
    <row r="40" spans="1:5" x14ac:dyDescent="0.25">
      <c r="A40" s="179">
        <v>2026</v>
      </c>
      <c r="B40" s="180" t="s">
        <v>60</v>
      </c>
      <c r="C40" s="181" t="s">
        <v>60</v>
      </c>
      <c r="D40" s="180" t="s">
        <v>409</v>
      </c>
      <c r="E40" s="182">
        <v>421</v>
      </c>
    </row>
    <row r="41" spans="1:5" x14ac:dyDescent="0.25">
      <c r="A41" s="179">
        <v>2026</v>
      </c>
      <c r="B41" s="180" t="s">
        <v>58</v>
      </c>
      <c r="C41" s="181" t="s">
        <v>58</v>
      </c>
      <c r="D41" s="180" t="s">
        <v>2</v>
      </c>
      <c r="E41" s="182">
        <v>2656</v>
      </c>
    </row>
    <row r="42" spans="1:5" x14ac:dyDescent="0.25">
      <c r="A42" s="179">
        <v>2026</v>
      </c>
      <c r="B42" s="180" t="s">
        <v>61</v>
      </c>
      <c r="C42" s="181" t="s">
        <v>61</v>
      </c>
      <c r="D42" s="180" t="s">
        <v>410</v>
      </c>
      <c r="E42" s="182">
        <v>832</v>
      </c>
    </row>
    <row r="43" spans="1:5" x14ac:dyDescent="0.25">
      <c r="A43" s="179">
        <v>2026</v>
      </c>
      <c r="B43" s="180" t="s">
        <v>62</v>
      </c>
      <c r="C43" s="181" t="s">
        <v>62</v>
      </c>
      <c r="D43" s="180" t="s">
        <v>411</v>
      </c>
      <c r="E43" s="182">
        <v>2841</v>
      </c>
    </row>
    <row r="44" spans="1:5" x14ac:dyDescent="0.25">
      <c r="A44" s="179">
        <v>2026</v>
      </c>
      <c r="B44" s="180" t="s">
        <v>63</v>
      </c>
      <c r="C44" s="181" t="s">
        <v>63</v>
      </c>
      <c r="D44" s="180" t="s">
        <v>412</v>
      </c>
      <c r="E44" s="182">
        <v>2196</v>
      </c>
    </row>
    <row r="45" spans="1:5" x14ac:dyDescent="0.25">
      <c r="A45" s="179">
        <v>2026</v>
      </c>
      <c r="B45" s="180" t="s">
        <v>64</v>
      </c>
      <c r="C45" s="181" t="s">
        <v>64</v>
      </c>
      <c r="D45" s="180" t="s">
        <v>413</v>
      </c>
      <c r="E45" s="182">
        <v>729</v>
      </c>
    </row>
    <row r="46" spans="1:5" x14ac:dyDescent="0.25">
      <c r="A46" s="179">
        <v>2026</v>
      </c>
      <c r="B46" s="180" t="s">
        <v>65</v>
      </c>
      <c r="C46" s="181" t="s">
        <v>65</v>
      </c>
      <c r="D46" s="180" t="s">
        <v>414</v>
      </c>
      <c r="E46" s="182">
        <v>1117</v>
      </c>
    </row>
    <row r="47" spans="1:5" x14ac:dyDescent="0.25">
      <c r="A47" s="179">
        <v>2026</v>
      </c>
      <c r="B47" s="180" t="s">
        <v>66</v>
      </c>
      <c r="C47" s="181" t="s">
        <v>66</v>
      </c>
      <c r="D47" s="180" t="s">
        <v>415</v>
      </c>
      <c r="E47" s="182">
        <v>30710</v>
      </c>
    </row>
    <row r="48" spans="1:5" x14ac:dyDescent="0.25">
      <c r="A48" s="179">
        <v>2026</v>
      </c>
      <c r="B48" s="180" t="s">
        <v>67</v>
      </c>
      <c r="C48" s="181" t="s">
        <v>67</v>
      </c>
      <c r="D48" s="180" t="s">
        <v>416</v>
      </c>
      <c r="E48" s="182">
        <v>1277</v>
      </c>
    </row>
    <row r="49" spans="1:5" x14ac:dyDescent="0.25">
      <c r="A49" s="179">
        <v>2026</v>
      </c>
      <c r="B49" s="180" t="s">
        <v>68</v>
      </c>
      <c r="C49" s="181" t="s">
        <v>68</v>
      </c>
      <c r="D49" s="180" t="s">
        <v>417</v>
      </c>
      <c r="E49" s="182">
        <v>1164</v>
      </c>
    </row>
    <row r="50" spans="1:5" x14ac:dyDescent="0.25">
      <c r="A50" s="179">
        <v>2026</v>
      </c>
      <c r="B50" s="180" t="s">
        <v>72</v>
      </c>
      <c r="C50" s="181" t="s">
        <v>72</v>
      </c>
      <c r="D50" s="180" t="s">
        <v>421</v>
      </c>
      <c r="E50" s="182">
        <v>412</v>
      </c>
    </row>
    <row r="51" spans="1:5" x14ac:dyDescent="0.25">
      <c r="A51" s="179">
        <v>2026</v>
      </c>
      <c r="B51" s="180" t="s">
        <v>70</v>
      </c>
      <c r="C51" s="181" t="s">
        <v>70</v>
      </c>
      <c r="D51" s="180" t="s">
        <v>419</v>
      </c>
      <c r="E51" s="182">
        <v>438</v>
      </c>
    </row>
    <row r="52" spans="1:5" x14ac:dyDescent="0.25">
      <c r="A52" s="179">
        <v>2026</v>
      </c>
      <c r="B52" s="180" t="s">
        <v>71</v>
      </c>
      <c r="C52" s="181" t="s">
        <v>71</v>
      </c>
      <c r="D52" s="180" t="s">
        <v>420</v>
      </c>
      <c r="E52" s="182">
        <v>2517</v>
      </c>
    </row>
    <row r="53" spans="1:5" x14ac:dyDescent="0.25">
      <c r="A53" s="179">
        <v>2026</v>
      </c>
      <c r="B53" s="180" t="s">
        <v>73</v>
      </c>
      <c r="C53" s="181" t="s">
        <v>73</v>
      </c>
      <c r="D53" s="180" t="s">
        <v>422</v>
      </c>
      <c r="E53" s="182">
        <v>404</v>
      </c>
    </row>
    <row r="54" spans="1:5" x14ac:dyDescent="0.25">
      <c r="A54" s="179">
        <v>2026</v>
      </c>
      <c r="B54" s="180" t="s">
        <v>69</v>
      </c>
      <c r="C54" s="181" t="s">
        <v>69</v>
      </c>
      <c r="D54" s="180" t="s">
        <v>418</v>
      </c>
      <c r="E54" s="182">
        <v>236</v>
      </c>
    </row>
    <row r="55" spans="1:5" x14ac:dyDescent="0.25">
      <c r="A55" s="179">
        <v>2026</v>
      </c>
      <c r="B55" s="180" t="s">
        <v>74</v>
      </c>
      <c r="C55" s="181" t="s">
        <v>74</v>
      </c>
      <c r="D55" s="180" t="s">
        <v>423</v>
      </c>
      <c r="E55" s="182">
        <v>0</v>
      </c>
    </row>
    <row r="56" spans="1:5" x14ac:dyDescent="0.25">
      <c r="A56" s="179">
        <v>2026</v>
      </c>
      <c r="B56" s="180" t="s">
        <v>225</v>
      </c>
      <c r="C56" s="181" t="s">
        <v>225</v>
      </c>
      <c r="D56" s="180" t="s">
        <v>571</v>
      </c>
      <c r="E56" s="182">
        <v>1833</v>
      </c>
    </row>
    <row r="57" spans="1:5" x14ac:dyDescent="0.25">
      <c r="A57" s="179">
        <v>2026</v>
      </c>
      <c r="B57" s="180" t="s">
        <v>75</v>
      </c>
      <c r="C57" s="181" t="s">
        <v>75</v>
      </c>
      <c r="D57" s="180" t="s">
        <v>424</v>
      </c>
      <c r="E57" s="182">
        <v>416</v>
      </c>
    </row>
    <row r="58" spans="1:5" x14ac:dyDescent="0.25">
      <c r="A58" s="179">
        <v>2026</v>
      </c>
      <c r="B58" s="180" t="s">
        <v>76</v>
      </c>
      <c r="C58" s="181" t="s">
        <v>76</v>
      </c>
      <c r="D58" s="180" t="s">
        <v>425</v>
      </c>
      <c r="E58" s="182">
        <v>534</v>
      </c>
    </row>
    <row r="59" spans="1:5" x14ac:dyDescent="0.25">
      <c r="A59" s="179">
        <v>2026</v>
      </c>
      <c r="B59" s="180" t="s">
        <v>77</v>
      </c>
      <c r="C59" s="181" t="s">
        <v>77</v>
      </c>
      <c r="D59" s="180" t="s">
        <v>426</v>
      </c>
      <c r="E59" s="182">
        <v>1017</v>
      </c>
    </row>
    <row r="60" spans="1:5" x14ac:dyDescent="0.25">
      <c r="A60" s="179">
        <v>2026</v>
      </c>
      <c r="B60" s="180" t="s">
        <v>78</v>
      </c>
      <c r="C60" s="181" t="s">
        <v>78</v>
      </c>
      <c r="D60" s="180" t="s">
        <v>427</v>
      </c>
      <c r="E60" s="182">
        <v>834</v>
      </c>
    </row>
    <row r="61" spans="1:5" x14ac:dyDescent="0.25">
      <c r="A61" s="179">
        <v>2026</v>
      </c>
      <c r="B61" s="180" t="s">
        <v>79</v>
      </c>
      <c r="C61" s="181" t="s">
        <v>79</v>
      </c>
      <c r="D61" s="180" t="s">
        <v>428</v>
      </c>
      <c r="E61" s="182">
        <v>1001</v>
      </c>
    </row>
    <row r="62" spans="1:5" x14ac:dyDescent="0.25">
      <c r="A62" s="179">
        <v>2026</v>
      </c>
      <c r="B62" s="180" t="s">
        <v>80</v>
      </c>
      <c r="C62" s="181" t="s">
        <v>80</v>
      </c>
      <c r="D62" s="180" t="s">
        <v>429</v>
      </c>
      <c r="E62" s="182">
        <v>1248</v>
      </c>
    </row>
    <row r="63" spans="1:5" x14ac:dyDescent="0.25">
      <c r="A63" s="179">
        <v>2026</v>
      </c>
      <c r="B63" s="180" t="s">
        <v>81</v>
      </c>
      <c r="C63" s="181" t="s">
        <v>81</v>
      </c>
      <c r="D63" s="180" t="s">
        <v>430</v>
      </c>
      <c r="E63" s="182">
        <v>2059</v>
      </c>
    </row>
    <row r="64" spans="1:5" x14ac:dyDescent="0.25">
      <c r="A64" s="179">
        <v>2026</v>
      </c>
      <c r="B64" s="180" t="s">
        <v>82</v>
      </c>
      <c r="C64" s="181" t="s">
        <v>82</v>
      </c>
      <c r="D64" s="180" t="s">
        <v>431</v>
      </c>
      <c r="E64" s="182">
        <v>1154</v>
      </c>
    </row>
    <row r="65" spans="1:5" x14ac:dyDescent="0.25">
      <c r="A65" s="179">
        <v>2026</v>
      </c>
      <c r="B65" s="180" t="s">
        <v>83</v>
      </c>
      <c r="C65" s="181" t="s">
        <v>83</v>
      </c>
      <c r="D65" s="180" t="s">
        <v>432</v>
      </c>
      <c r="E65" s="182">
        <v>1057</v>
      </c>
    </row>
    <row r="66" spans="1:5" x14ac:dyDescent="0.25">
      <c r="A66" s="179">
        <v>2026</v>
      </c>
      <c r="B66" s="180" t="s">
        <v>146</v>
      </c>
      <c r="C66" s="181" t="s">
        <v>146</v>
      </c>
      <c r="D66" s="180" t="s">
        <v>494</v>
      </c>
      <c r="E66" s="182">
        <v>583</v>
      </c>
    </row>
    <row r="67" spans="1:5" x14ac:dyDescent="0.25">
      <c r="A67" s="179">
        <v>2026</v>
      </c>
      <c r="B67" s="180" t="s">
        <v>84</v>
      </c>
      <c r="C67" s="181" t="s">
        <v>84</v>
      </c>
      <c r="D67" s="180" t="s">
        <v>433</v>
      </c>
      <c r="E67" s="182">
        <v>5206</v>
      </c>
    </row>
    <row r="68" spans="1:5" x14ac:dyDescent="0.25">
      <c r="A68" s="179">
        <v>2026</v>
      </c>
      <c r="B68" s="180" t="s">
        <v>85</v>
      </c>
      <c r="C68" s="181" t="s">
        <v>85</v>
      </c>
      <c r="D68" s="180" t="s">
        <v>434</v>
      </c>
      <c r="E68" s="182">
        <v>1690</v>
      </c>
    </row>
    <row r="69" spans="1:5" x14ac:dyDescent="0.25">
      <c r="A69" s="179">
        <v>2026</v>
      </c>
      <c r="B69" s="180" t="s">
        <v>86</v>
      </c>
      <c r="C69" s="181" t="s">
        <v>86</v>
      </c>
      <c r="D69" s="180" t="s">
        <v>435</v>
      </c>
      <c r="E69" s="182">
        <v>67</v>
      </c>
    </row>
    <row r="70" spans="1:5" x14ac:dyDescent="0.25">
      <c r="A70" s="179">
        <v>2026</v>
      </c>
      <c r="B70" s="180" t="s">
        <v>87</v>
      </c>
      <c r="C70" s="181" t="s">
        <v>87</v>
      </c>
      <c r="D70" s="180" t="s">
        <v>436</v>
      </c>
      <c r="E70" s="182">
        <v>412</v>
      </c>
    </row>
    <row r="71" spans="1:5" x14ac:dyDescent="0.25">
      <c r="A71" s="179">
        <v>2026</v>
      </c>
      <c r="B71" s="180" t="s">
        <v>88</v>
      </c>
      <c r="C71" s="181" t="s">
        <v>88</v>
      </c>
      <c r="D71" s="180" t="s">
        <v>437</v>
      </c>
      <c r="E71" s="182">
        <v>12453</v>
      </c>
    </row>
    <row r="72" spans="1:5" x14ac:dyDescent="0.25">
      <c r="A72" s="179">
        <v>2026</v>
      </c>
      <c r="B72" s="180" t="s">
        <v>89</v>
      </c>
      <c r="C72" s="181" t="s">
        <v>89</v>
      </c>
      <c r="D72" s="180" t="s">
        <v>438</v>
      </c>
      <c r="E72" s="182">
        <v>0</v>
      </c>
    </row>
    <row r="73" spans="1:5" x14ac:dyDescent="0.25">
      <c r="A73" s="179">
        <v>2026</v>
      </c>
      <c r="B73" s="180" t="s">
        <v>90</v>
      </c>
      <c r="C73" s="181" t="s">
        <v>90</v>
      </c>
      <c r="D73" s="180" t="s">
        <v>439</v>
      </c>
      <c r="E73" s="182">
        <v>495</v>
      </c>
    </row>
    <row r="74" spans="1:5" x14ac:dyDescent="0.25">
      <c r="A74" s="179">
        <v>2026</v>
      </c>
      <c r="B74" s="180" t="s">
        <v>91</v>
      </c>
      <c r="C74" s="181" t="s">
        <v>91</v>
      </c>
      <c r="D74" s="180" t="s">
        <v>440</v>
      </c>
      <c r="E74" s="182">
        <v>542</v>
      </c>
    </row>
    <row r="75" spans="1:5" x14ac:dyDescent="0.25">
      <c r="A75" s="179">
        <v>2026</v>
      </c>
      <c r="B75" s="180" t="s">
        <v>92</v>
      </c>
      <c r="C75" s="181" t="s">
        <v>92</v>
      </c>
      <c r="D75" s="180" t="s">
        <v>441</v>
      </c>
      <c r="E75" s="182">
        <v>481</v>
      </c>
    </row>
    <row r="76" spans="1:5" x14ac:dyDescent="0.25">
      <c r="A76" s="179">
        <v>2026</v>
      </c>
      <c r="B76" s="180" t="s">
        <v>93</v>
      </c>
      <c r="C76" s="181" t="s">
        <v>93</v>
      </c>
      <c r="D76" s="180" t="s">
        <v>442</v>
      </c>
      <c r="E76" s="182">
        <v>1126</v>
      </c>
    </row>
    <row r="77" spans="1:5" x14ac:dyDescent="0.25">
      <c r="A77" s="179">
        <v>2026</v>
      </c>
      <c r="B77" s="180" t="s">
        <v>94</v>
      </c>
      <c r="C77" s="181" t="s">
        <v>94</v>
      </c>
      <c r="D77" s="180" t="s">
        <v>443</v>
      </c>
      <c r="E77" s="182">
        <v>11031</v>
      </c>
    </row>
    <row r="78" spans="1:5" x14ac:dyDescent="0.25">
      <c r="A78" s="179">
        <v>2026</v>
      </c>
      <c r="B78" s="180" t="s">
        <v>95</v>
      </c>
      <c r="C78" s="181" t="s">
        <v>95</v>
      </c>
      <c r="D78" s="180" t="s">
        <v>444</v>
      </c>
      <c r="E78" s="182">
        <v>2264</v>
      </c>
    </row>
    <row r="79" spans="1:5" x14ac:dyDescent="0.25">
      <c r="A79" s="179">
        <v>2026</v>
      </c>
      <c r="B79" s="180" t="s">
        <v>96</v>
      </c>
      <c r="C79" s="181" t="s">
        <v>96</v>
      </c>
      <c r="D79" s="180" t="s">
        <v>445</v>
      </c>
      <c r="E79" s="182">
        <v>6932</v>
      </c>
    </row>
    <row r="80" spans="1:5" x14ac:dyDescent="0.25">
      <c r="A80" s="179">
        <v>2026</v>
      </c>
      <c r="B80" s="180" t="s">
        <v>97</v>
      </c>
      <c r="C80" s="181" t="s">
        <v>97</v>
      </c>
      <c r="D80" s="180" t="s">
        <v>446</v>
      </c>
      <c r="E80" s="182">
        <v>85</v>
      </c>
    </row>
    <row r="81" spans="1:5" x14ac:dyDescent="0.25">
      <c r="A81" s="179">
        <v>2026</v>
      </c>
      <c r="B81" s="180" t="s">
        <v>98</v>
      </c>
      <c r="C81" s="181" t="s">
        <v>98</v>
      </c>
      <c r="D81" s="180" t="s">
        <v>447</v>
      </c>
      <c r="E81" s="182">
        <v>26529</v>
      </c>
    </row>
    <row r="82" spans="1:5" x14ac:dyDescent="0.25">
      <c r="A82" s="179">
        <v>2026</v>
      </c>
      <c r="B82" s="180" t="s">
        <v>99</v>
      </c>
      <c r="C82" s="181" t="s">
        <v>99</v>
      </c>
      <c r="D82" s="180" t="s">
        <v>448</v>
      </c>
      <c r="E82" s="182">
        <v>3099</v>
      </c>
    </row>
    <row r="83" spans="1:5" x14ac:dyDescent="0.25">
      <c r="A83" s="179">
        <v>2026</v>
      </c>
      <c r="B83" s="180" t="s">
        <v>100</v>
      </c>
      <c r="C83" s="181" t="s">
        <v>100</v>
      </c>
      <c r="D83" s="180" t="s">
        <v>449</v>
      </c>
      <c r="E83" s="182">
        <v>2309</v>
      </c>
    </row>
    <row r="84" spans="1:5" x14ac:dyDescent="0.25">
      <c r="A84" s="179">
        <v>2026</v>
      </c>
      <c r="B84" s="180" t="s">
        <v>101</v>
      </c>
      <c r="C84" s="181" t="s">
        <v>101</v>
      </c>
      <c r="D84" s="180" t="s">
        <v>450</v>
      </c>
      <c r="E84" s="182">
        <v>386</v>
      </c>
    </row>
    <row r="85" spans="1:5" x14ac:dyDescent="0.25">
      <c r="A85" s="179">
        <v>2026</v>
      </c>
      <c r="B85" s="180" t="s">
        <v>102</v>
      </c>
      <c r="C85" s="181" t="s">
        <v>102</v>
      </c>
      <c r="D85" s="180" t="s">
        <v>451</v>
      </c>
      <c r="E85" s="182">
        <v>247</v>
      </c>
    </row>
    <row r="86" spans="1:5" x14ac:dyDescent="0.25">
      <c r="A86" s="179">
        <v>2026</v>
      </c>
      <c r="B86" s="180" t="s">
        <v>103</v>
      </c>
      <c r="C86" s="181" t="s">
        <v>103</v>
      </c>
      <c r="D86" s="180" t="s">
        <v>452</v>
      </c>
      <c r="E86" s="182">
        <v>524</v>
      </c>
    </row>
    <row r="87" spans="1:5" x14ac:dyDescent="0.25">
      <c r="A87" s="179">
        <v>2026</v>
      </c>
      <c r="B87" s="180" t="s">
        <v>104</v>
      </c>
      <c r="C87" s="181" t="s">
        <v>104</v>
      </c>
      <c r="D87" s="180" t="s">
        <v>453</v>
      </c>
      <c r="E87" s="182">
        <v>69694</v>
      </c>
    </row>
    <row r="88" spans="1:5" x14ac:dyDescent="0.25">
      <c r="A88" s="179">
        <v>2026</v>
      </c>
      <c r="B88" s="180" t="s">
        <v>105</v>
      </c>
      <c r="C88" s="181" t="s">
        <v>105</v>
      </c>
      <c r="D88" s="180" t="s">
        <v>454</v>
      </c>
      <c r="E88" s="182">
        <v>363</v>
      </c>
    </row>
    <row r="89" spans="1:5" x14ac:dyDescent="0.25">
      <c r="A89" s="179">
        <v>2026</v>
      </c>
      <c r="B89" s="180" t="s">
        <v>106</v>
      </c>
      <c r="C89" s="181" t="s">
        <v>106</v>
      </c>
      <c r="D89" s="180" t="s">
        <v>455</v>
      </c>
      <c r="E89" s="182">
        <v>821</v>
      </c>
    </row>
    <row r="90" spans="1:5" x14ac:dyDescent="0.25">
      <c r="A90" s="179">
        <v>2026</v>
      </c>
      <c r="B90" s="180" t="s">
        <v>107</v>
      </c>
      <c r="C90" s="181" t="s">
        <v>107</v>
      </c>
      <c r="D90" s="180" t="s">
        <v>456</v>
      </c>
      <c r="E90" s="182">
        <v>13856</v>
      </c>
    </row>
    <row r="91" spans="1:5" x14ac:dyDescent="0.25">
      <c r="A91" s="179">
        <v>2026</v>
      </c>
      <c r="B91" s="180" t="s">
        <v>108</v>
      </c>
      <c r="C91" s="181" t="s">
        <v>108</v>
      </c>
      <c r="D91" s="180" t="s">
        <v>457</v>
      </c>
      <c r="E91" s="182">
        <v>187</v>
      </c>
    </row>
    <row r="92" spans="1:5" x14ac:dyDescent="0.25">
      <c r="A92" s="179">
        <v>2026</v>
      </c>
      <c r="B92" s="180" t="s">
        <v>110</v>
      </c>
      <c r="C92" s="181" t="s">
        <v>110</v>
      </c>
      <c r="D92" s="180" t="s">
        <v>459</v>
      </c>
      <c r="E92" s="182">
        <v>1068</v>
      </c>
    </row>
    <row r="93" spans="1:5" x14ac:dyDescent="0.25">
      <c r="A93" s="179">
        <v>2026</v>
      </c>
      <c r="B93" s="180" t="s">
        <v>112</v>
      </c>
      <c r="C93" s="181" t="s">
        <v>112</v>
      </c>
      <c r="D93" s="180" t="s">
        <v>461</v>
      </c>
      <c r="E93" s="182">
        <v>1322</v>
      </c>
    </row>
    <row r="94" spans="1:5" x14ac:dyDescent="0.25">
      <c r="A94" s="179">
        <v>2026</v>
      </c>
      <c r="B94" s="180" t="s">
        <v>113</v>
      </c>
      <c r="C94" s="181" t="s">
        <v>113</v>
      </c>
      <c r="D94" s="180" t="s">
        <v>462</v>
      </c>
      <c r="E94" s="182">
        <v>971</v>
      </c>
    </row>
    <row r="95" spans="1:5" x14ac:dyDescent="0.25">
      <c r="A95" s="179">
        <v>2026</v>
      </c>
      <c r="B95" s="180" t="s">
        <v>114</v>
      </c>
      <c r="C95" s="181" t="s">
        <v>114</v>
      </c>
      <c r="D95" s="180" t="s">
        <v>463</v>
      </c>
      <c r="E95" s="182">
        <v>141</v>
      </c>
    </row>
    <row r="96" spans="1:5" x14ac:dyDescent="0.25">
      <c r="A96" s="179">
        <v>2026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2026</v>
      </c>
      <c r="B97" s="180" t="s">
        <v>191</v>
      </c>
      <c r="C97" s="181" t="s">
        <v>191</v>
      </c>
      <c r="D97" s="180" t="s">
        <v>537</v>
      </c>
      <c r="E97" s="182">
        <v>808</v>
      </c>
    </row>
    <row r="98" spans="1:5" x14ac:dyDescent="0.25">
      <c r="A98" s="179">
        <v>2026</v>
      </c>
      <c r="B98" s="180" t="s">
        <v>315</v>
      </c>
      <c r="C98" s="181" t="s">
        <v>315</v>
      </c>
      <c r="D98" s="180" t="s">
        <v>654</v>
      </c>
      <c r="E98" s="182">
        <v>320</v>
      </c>
    </row>
    <row r="99" spans="1:5" x14ac:dyDescent="0.25">
      <c r="A99" s="179">
        <v>2026</v>
      </c>
      <c r="B99" s="180" t="s">
        <v>116</v>
      </c>
      <c r="C99" s="181" t="s">
        <v>116</v>
      </c>
      <c r="D99" s="180" t="s">
        <v>465</v>
      </c>
      <c r="E99" s="182">
        <v>1398</v>
      </c>
    </row>
    <row r="100" spans="1:5" x14ac:dyDescent="0.25">
      <c r="A100" s="179">
        <v>2026</v>
      </c>
      <c r="B100" s="180" t="s">
        <v>117</v>
      </c>
      <c r="C100" s="181" t="s">
        <v>117</v>
      </c>
      <c r="D100" s="180" t="s">
        <v>466</v>
      </c>
      <c r="E100" s="182">
        <v>930</v>
      </c>
    </row>
    <row r="101" spans="1:5" x14ac:dyDescent="0.25">
      <c r="A101" s="179">
        <v>2026</v>
      </c>
      <c r="B101" s="180" t="s">
        <v>115</v>
      </c>
      <c r="C101" s="181" t="s">
        <v>115</v>
      </c>
      <c r="D101" s="180" t="s">
        <v>464</v>
      </c>
      <c r="E101" s="182">
        <v>16</v>
      </c>
    </row>
    <row r="102" spans="1:5" x14ac:dyDescent="0.25">
      <c r="A102" s="179">
        <v>2026</v>
      </c>
      <c r="B102" s="180" t="s">
        <v>50</v>
      </c>
      <c r="C102" s="181" t="s">
        <v>50</v>
      </c>
      <c r="D102" s="180" t="s">
        <v>401</v>
      </c>
      <c r="E102" s="182">
        <v>700</v>
      </c>
    </row>
    <row r="103" spans="1:5" x14ac:dyDescent="0.25">
      <c r="A103" s="179">
        <v>2026</v>
      </c>
      <c r="B103" s="180" t="s">
        <v>119</v>
      </c>
      <c r="C103" s="181" t="s">
        <v>119</v>
      </c>
      <c r="D103" s="180" t="s">
        <v>468</v>
      </c>
      <c r="E103" s="182">
        <v>547</v>
      </c>
    </row>
    <row r="104" spans="1:5" x14ac:dyDescent="0.25">
      <c r="A104" s="179">
        <v>2026</v>
      </c>
      <c r="B104" s="180" t="s">
        <v>120</v>
      </c>
      <c r="C104" s="181" t="s">
        <v>120</v>
      </c>
      <c r="D104" s="180" t="s">
        <v>469</v>
      </c>
      <c r="E104" s="182">
        <v>1379</v>
      </c>
    </row>
    <row r="105" spans="1:5" x14ac:dyDescent="0.25">
      <c r="A105" s="179">
        <v>2026</v>
      </c>
      <c r="B105" s="180" t="s">
        <v>121</v>
      </c>
      <c r="C105" s="181" t="s">
        <v>121</v>
      </c>
      <c r="D105" s="180" t="s">
        <v>470</v>
      </c>
      <c r="E105" s="182">
        <v>1319</v>
      </c>
    </row>
    <row r="106" spans="1:5" x14ac:dyDescent="0.25">
      <c r="A106" s="179">
        <v>2026</v>
      </c>
      <c r="B106" s="180" t="s">
        <v>122</v>
      </c>
      <c r="C106" s="181" t="s">
        <v>122</v>
      </c>
      <c r="D106" s="180" t="s">
        <v>471</v>
      </c>
      <c r="E106" s="182">
        <v>571</v>
      </c>
    </row>
    <row r="107" spans="1:5" x14ac:dyDescent="0.25">
      <c r="A107" s="179">
        <v>2026</v>
      </c>
      <c r="B107" s="180" t="s">
        <v>123</v>
      </c>
      <c r="C107" s="181" t="s">
        <v>123</v>
      </c>
      <c r="D107" s="180" t="s">
        <v>472</v>
      </c>
      <c r="E107" s="182">
        <v>486</v>
      </c>
    </row>
    <row r="108" spans="1:5" x14ac:dyDescent="0.25">
      <c r="A108" s="179">
        <v>2026</v>
      </c>
      <c r="B108" s="180" t="s">
        <v>124</v>
      </c>
      <c r="C108" s="181" t="s">
        <v>124</v>
      </c>
      <c r="D108" s="180" t="s">
        <v>473</v>
      </c>
      <c r="E108" s="182">
        <v>2431</v>
      </c>
    </row>
    <row r="109" spans="1:5" x14ac:dyDescent="0.25">
      <c r="A109" s="179">
        <v>2026</v>
      </c>
      <c r="B109" s="180" t="s">
        <v>125</v>
      </c>
      <c r="C109" s="181" t="s">
        <v>125</v>
      </c>
      <c r="D109" s="180" t="s">
        <v>474</v>
      </c>
      <c r="E109" s="182">
        <v>950</v>
      </c>
    </row>
    <row r="110" spans="1:5" x14ac:dyDescent="0.25">
      <c r="A110" s="179">
        <v>2026</v>
      </c>
      <c r="B110" s="180" t="s">
        <v>126</v>
      </c>
      <c r="C110" s="181" t="s">
        <v>126</v>
      </c>
      <c r="D110" s="180" t="s">
        <v>475</v>
      </c>
      <c r="E110" s="182">
        <v>2333</v>
      </c>
    </row>
    <row r="111" spans="1:5" x14ac:dyDescent="0.25">
      <c r="A111" s="179">
        <v>2026</v>
      </c>
      <c r="B111" s="180" t="s">
        <v>127</v>
      </c>
      <c r="C111" s="181" t="s">
        <v>127</v>
      </c>
      <c r="D111" s="180" t="s">
        <v>476</v>
      </c>
      <c r="E111" s="182">
        <v>897</v>
      </c>
    </row>
    <row r="112" spans="1:5" x14ac:dyDescent="0.25">
      <c r="A112" s="179">
        <v>2026</v>
      </c>
      <c r="B112" s="180" t="s">
        <v>128</v>
      </c>
      <c r="C112" s="181" t="s">
        <v>128</v>
      </c>
      <c r="D112" s="180" t="s">
        <v>477</v>
      </c>
      <c r="E112" s="182">
        <v>2805</v>
      </c>
    </row>
    <row r="113" spans="1:5" x14ac:dyDescent="0.25">
      <c r="A113" s="179">
        <v>2026</v>
      </c>
      <c r="B113" s="180" t="s">
        <v>129</v>
      </c>
      <c r="C113" s="181" t="s">
        <v>129</v>
      </c>
      <c r="D113" s="180" t="s">
        <v>478</v>
      </c>
      <c r="E113" s="182">
        <v>2770</v>
      </c>
    </row>
    <row r="114" spans="1:5" x14ac:dyDescent="0.25">
      <c r="A114" s="179">
        <v>2026</v>
      </c>
      <c r="B114" s="180" t="s">
        <v>130</v>
      </c>
      <c r="C114" s="181" t="s">
        <v>130</v>
      </c>
      <c r="D114" s="180" t="s">
        <v>479</v>
      </c>
      <c r="E114" s="182">
        <v>791</v>
      </c>
    </row>
    <row r="115" spans="1:5" x14ac:dyDescent="0.25">
      <c r="A115" s="179">
        <v>2026</v>
      </c>
      <c r="B115" s="180" t="s">
        <v>131</v>
      </c>
      <c r="C115" s="181" t="s">
        <v>131</v>
      </c>
      <c r="D115" s="180" t="s">
        <v>480</v>
      </c>
      <c r="E115" s="182">
        <v>320</v>
      </c>
    </row>
    <row r="116" spans="1:5" x14ac:dyDescent="0.25">
      <c r="A116" s="179">
        <v>2026</v>
      </c>
      <c r="B116" s="180" t="s">
        <v>132</v>
      </c>
      <c r="C116" s="181" t="s">
        <v>132</v>
      </c>
      <c r="D116" s="180" t="s">
        <v>481</v>
      </c>
      <c r="E116" s="182">
        <v>891</v>
      </c>
    </row>
    <row r="117" spans="1:5" x14ac:dyDescent="0.25">
      <c r="A117" s="179">
        <v>2026</v>
      </c>
      <c r="B117" s="180" t="s">
        <v>133</v>
      </c>
      <c r="C117" s="181" t="s">
        <v>133</v>
      </c>
      <c r="D117" s="180" t="s">
        <v>482</v>
      </c>
      <c r="E117" s="182">
        <v>431</v>
      </c>
    </row>
    <row r="118" spans="1:5" x14ac:dyDescent="0.25">
      <c r="A118" s="179">
        <v>2026</v>
      </c>
      <c r="B118" s="180" t="s">
        <v>134</v>
      </c>
      <c r="C118" s="181" t="s">
        <v>134</v>
      </c>
      <c r="D118" s="180" t="s">
        <v>483</v>
      </c>
      <c r="E118" s="182">
        <v>2361</v>
      </c>
    </row>
    <row r="119" spans="1:5" x14ac:dyDescent="0.25">
      <c r="A119" s="179">
        <v>2026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2026</v>
      </c>
      <c r="B120" s="180" t="s">
        <v>136</v>
      </c>
      <c r="C120" s="181" t="s">
        <v>136</v>
      </c>
      <c r="D120" s="180" t="s">
        <v>485</v>
      </c>
      <c r="E120" s="182">
        <v>403</v>
      </c>
    </row>
    <row r="121" spans="1:5" x14ac:dyDescent="0.25">
      <c r="A121" s="179">
        <v>2026</v>
      </c>
      <c r="B121" s="180" t="s">
        <v>137</v>
      </c>
      <c r="C121" s="181" t="s">
        <v>137</v>
      </c>
      <c r="D121" s="180" t="s">
        <v>486</v>
      </c>
      <c r="E121" s="182">
        <v>2859</v>
      </c>
    </row>
    <row r="122" spans="1:5" x14ac:dyDescent="0.25">
      <c r="A122" s="179">
        <v>2026</v>
      </c>
      <c r="B122" s="180" t="s">
        <v>138</v>
      </c>
      <c r="C122" s="181" t="s">
        <v>138</v>
      </c>
      <c r="D122" s="180" t="s">
        <v>487</v>
      </c>
      <c r="E122" s="182">
        <v>780</v>
      </c>
    </row>
    <row r="123" spans="1:5" x14ac:dyDescent="0.25">
      <c r="A123" s="179">
        <v>2026</v>
      </c>
      <c r="B123" s="180" t="s">
        <v>141</v>
      </c>
      <c r="C123" s="181" t="s">
        <v>141</v>
      </c>
      <c r="D123" s="180" t="s">
        <v>4</v>
      </c>
      <c r="E123" s="182">
        <v>893</v>
      </c>
    </row>
    <row r="124" spans="1:5" x14ac:dyDescent="0.25">
      <c r="A124" s="179">
        <v>2026</v>
      </c>
      <c r="B124" s="180" t="s">
        <v>139</v>
      </c>
      <c r="C124" s="181" t="s">
        <v>139</v>
      </c>
      <c r="D124" s="180" t="s">
        <v>488</v>
      </c>
      <c r="E124" s="182">
        <v>1576</v>
      </c>
    </row>
    <row r="125" spans="1:5" x14ac:dyDescent="0.25">
      <c r="A125" s="179">
        <v>2026</v>
      </c>
      <c r="B125" s="180" t="s">
        <v>167</v>
      </c>
      <c r="C125" s="181" t="s">
        <v>167</v>
      </c>
      <c r="D125" s="180" t="s">
        <v>514</v>
      </c>
      <c r="E125" s="182">
        <v>1744</v>
      </c>
    </row>
    <row r="126" spans="1:5" x14ac:dyDescent="0.25">
      <c r="A126" s="179">
        <v>2026</v>
      </c>
      <c r="B126" s="180" t="s">
        <v>142</v>
      </c>
      <c r="C126" s="181" t="s">
        <v>142</v>
      </c>
      <c r="D126" s="180" t="s">
        <v>490</v>
      </c>
      <c r="E126" s="182">
        <v>1167</v>
      </c>
    </row>
    <row r="127" spans="1:5" x14ac:dyDescent="0.25">
      <c r="A127" s="179">
        <v>2026</v>
      </c>
      <c r="B127" s="180" t="s">
        <v>143</v>
      </c>
      <c r="C127" s="181" t="s">
        <v>143</v>
      </c>
      <c r="D127" s="180" t="s">
        <v>491</v>
      </c>
      <c r="E127" s="182">
        <v>684</v>
      </c>
    </row>
    <row r="128" spans="1:5" x14ac:dyDescent="0.25">
      <c r="A128" s="179">
        <v>2026</v>
      </c>
      <c r="B128" s="180" t="s">
        <v>144</v>
      </c>
      <c r="C128" s="181" t="s">
        <v>144</v>
      </c>
      <c r="D128" s="180" t="s">
        <v>492</v>
      </c>
      <c r="E128" s="182">
        <v>1186</v>
      </c>
    </row>
    <row r="129" spans="1:5" x14ac:dyDescent="0.25">
      <c r="A129" s="179">
        <v>2026</v>
      </c>
      <c r="B129" s="180" t="s">
        <v>145</v>
      </c>
      <c r="C129" s="181" t="s">
        <v>145</v>
      </c>
      <c r="D129" s="180" t="s">
        <v>493</v>
      </c>
      <c r="E129" s="182">
        <v>478</v>
      </c>
    </row>
    <row r="130" spans="1:5" x14ac:dyDescent="0.25">
      <c r="A130" s="179">
        <v>2026</v>
      </c>
      <c r="B130" s="180" t="s">
        <v>148</v>
      </c>
      <c r="C130" s="181" t="s">
        <v>148</v>
      </c>
      <c r="D130" s="180" t="s">
        <v>495</v>
      </c>
      <c r="E130" s="182">
        <v>522</v>
      </c>
    </row>
    <row r="131" spans="1:5" x14ac:dyDescent="0.25">
      <c r="A131" s="179">
        <v>2026</v>
      </c>
      <c r="B131" s="180" t="s">
        <v>149</v>
      </c>
      <c r="C131" s="181" t="s">
        <v>149</v>
      </c>
      <c r="D131" s="180" t="s">
        <v>496</v>
      </c>
      <c r="E131" s="182">
        <v>418</v>
      </c>
    </row>
    <row r="132" spans="1:5" x14ac:dyDescent="0.25">
      <c r="A132" s="179">
        <v>2026</v>
      </c>
      <c r="B132" s="180" t="s">
        <v>150</v>
      </c>
      <c r="C132" s="181" t="s">
        <v>150</v>
      </c>
      <c r="D132" s="180" t="s">
        <v>497</v>
      </c>
      <c r="E132" s="182">
        <v>579</v>
      </c>
    </row>
    <row r="133" spans="1:5" x14ac:dyDescent="0.25">
      <c r="A133" s="179">
        <v>2026</v>
      </c>
      <c r="B133" s="180" t="s">
        <v>151</v>
      </c>
      <c r="C133" s="181" t="s">
        <v>151</v>
      </c>
      <c r="D133" s="180" t="s">
        <v>498</v>
      </c>
      <c r="E133" s="182">
        <v>154</v>
      </c>
    </row>
    <row r="134" spans="1:5" x14ac:dyDescent="0.25">
      <c r="A134" s="179">
        <v>2026</v>
      </c>
      <c r="B134" s="180" t="s">
        <v>152</v>
      </c>
      <c r="C134" s="181" t="s">
        <v>152</v>
      </c>
      <c r="D134" s="180" t="s">
        <v>499</v>
      </c>
      <c r="E134" s="182">
        <v>281</v>
      </c>
    </row>
    <row r="135" spans="1:5" x14ac:dyDescent="0.25">
      <c r="A135" s="179">
        <v>2026</v>
      </c>
      <c r="B135" s="180" t="s">
        <v>153</v>
      </c>
      <c r="C135" s="181" t="s">
        <v>153</v>
      </c>
      <c r="D135" s="180" t="s">
        <v>500</v>
      </c>
      <c r="E135" s="182">
        <v>1027</v>
      </c>
    </row>
    <row r="136" spans="1:5" x14ac:dyDescent="0.25">
      <c r="A136" s="179">
        <v>2026</v>
      </c>
      <c r="B136" s="180" t="s">
        <v>154</v>
      </c>
      <c r="C136" s="181" t="s">
        <v>154</v>
      </c>
      <c r="D136" s="180" t="s">
        <v>501</v>
      </c>
      <c r="E136" s="182">
        <v>300</v>
      </c>
    </row>
    <row r="137" spans="1:5" x14ac:dyDescent="0.25">
      <c r="A137" s="179">
        <v>2026</v>
      </c>
      <c r="B137" s="180" t="s">
        <v>147</v>
      </c>
      <c r="C137" s="181" t="s">
        <v>147</v>
      </c>
      <c r="D137" s="180" t="s">
        <v>5</v>
      </c>
      <c r="E137" s="182">
        <v>526</v>
      </c>
    </row>
    <row r="138" spans="1:5" x14ac:dyDescent="0.25">
      <c r="A138" s="179">
        <v>2026</v>
      </c>
      <c r="B138" s="180" t="s">
        <v>155</v>
      </c>
      <c r="C138" s="181" t="s">
        <v>155</v>
      </c>
      <c r="D138" s="180" t="s">
        <v>502</v>
      </c>
      <c r="E138" s="182">
        <v>2735</v>
      </c>
    </row>
    <row r="139" spans="1:5" x14ac:dyDescent="0.25">
      <c r="A139" s="179">
        <v>2026</v>
      </c>
      <c r="B139" s="180" t="s">
        <v>156</v>
      </c>
      <c r="C139" s="181" t="s">
        <v>156</v>
      </c>
      <c r="D139" s="180" t="s">
        <v>503</v>
      </c>
      <c r="E139" s="182">
        <v>678</v>
      </c>
    </row>
    <row r="140" spans="1:5" x14ac:dyDescent="0.25">
      <c r="A140" s="179">
        <v>2026</v>
      </c>
      <c r="B140" s="180" t="s">
        <v>157</v>
      </c>
      <c r="C140" s="181" t="s">
        <v>157</v>
      </c>
      <c r="D140" s="180" t="s">
        <v>504</v>
      </c>
      <c r="E140" s="182">
        <v>2129</v>
      </c>
    </row>
    <row r="141" spans="1:5" x14ac:dyDescent="0.25">
      <c r="A141" s="179">
        <v>2026</v>
      </c>
      <c r="B141" s="180" t="s">
        <v>158</v>
      </c>
      <c r="C141" s="181" t="s">
        <v>158</v>
      </c>
      <c r="D141" s="180" t="s">
        <v>505</v>
      </c>
      <c r="E141" s="182">
        <v>2334</v>
      </c>
    </row>
    <row r="142" spans="1:5" x14ac:dyDescent="0.25">
      <c r="A142" s="179">
        <v>2026</v>
      </c>
      <c r="B142" s="180" t="s">
        <v>165</v>
      </c>
      <c r="C142" s="181" t="s">
        <v>165</v>
      </c>
      <c r="D142" s="180" t="s">
        <v>512</v>
      </c>
      <c r="E142" s="182">
        <v>1677</v>
      </c>
    </row>
    <row r="143" spans="1:5" x14ac:dyDescent="0.25">
      <c r="A143" s="179">
        <v>2026</v>
      </c>
      <c r="B143" s="180" t="s">
        <v>159</v>
      </c>
      <c r="C143" s="181" t="s">
        <v>159</v>
      </c>
      <c r="D143" s="180" t="s">
        <v>506</v>
      </c>
      <c r="E143" s="182">
        <v>1729</v>
      </c>
    </row>
    <row r="144" spans="1:5" x14ac:dyDescent="0.25">
      <c r="A144" s="179">
        <v>2026</v>
      </c>
      <c r="B144" s="180" t="s">
        <v>160</v>
      </c>
      <c r="C144" s="181" t="s">
        <v>160</v>
      </c>
      <c r="D144" s="180" t="s">
        <v>507</v>
      </c>
      <c r="E144" s="182">
        <v>702</v>
      </c>
    </row>
    <row r="145" spans="1:5" x14ac:dyDescent="0.25">
      <c r="A145" s="179">
        <v>2026</v>
      </c>
      <c r="B145" s="180" t="s">
        <v>161</v>
      </c>
      <c r="C145" s="181" t="s">
        <v>161</v>
      </c>
      <c r="D145" s="180" t="s">
        <v>508</v>
      </c>
      <c r="E145" s="182">
        <v>1229</v>
      </c>
    </row>
    <row r="146" spans="1:5" x14ac:dyDescent="0.25">
      <c r="A146" s="179">
        <v>2026</v>
      </c>
      <c r="B146" s="180" t="s">
        <v>162</v>
      </c>
      <c r="C146" s="181" t="s">
        <v>162</v>
      </c>
      <c r="D146" s="180" t="s">
        <v>509</v>
      </c>
      <c r="E146" s="182">
        <v>51604</v>
      </c>
    </row>
    <row r="147" spans="1:5" x14ac:dyDescent="0.25">
      <c r="A147" s="179">
        <v>2026</v>
      </c>
      <c r="B147" s="180" t="s">
        <v>163</v>
      </c>
      <c r="C147" s="181" t="s">
        <v>163</v>
      </c>
      <c r="D147" s="180" t="s">
        <v>510</v>
      </c>
      <c r="E147" s="182">
        <v>1887</v>
      </c>
    </row>
    <row r="148" spans="1:5" x14ac:dyDescent="0.25">
      <c r="A148" s="179">
        <v>2026</v>
      </c>
      <c r="B148" s="180" t="s">
        <v>164</v>
      </c>
      <c r="C148" s="181" t="s">
        <v>164</v>
      </c>
      <c r="D148" s="180" t="s">
        <v>511</v>
      </c>
      <c r="E148" s="182">
        <v>606</v>
      </c>
    </row>
    <row r="149" spans="1:5" x14ac:dyDescent="0.25">
      <c r="A149" s="179">
        <v>2026</v>
      </c>
      <c r="B149" s="180" t="s">
        <v>166</v>
      </c>
      <c r="C149" s="181" t="s">
        <v>166</v>
      </c>
      <c r="D149" s="180" t="s">
        <v>513</v>
      </c>
      <c r="E149" s="182">
        <v>99</v>
      </c>
    </row>
    <row r="150" spans="1:5" x14ac:dyDescent="0.25">
      <c r="A150" s="179">
        <v>2026</v>
      </c>
      <c r="B150" s="180" t="s">
        <v>168</v>
      </c>
      <c r="C150" s="181" t="s">
        <v>168</v>
      </c>
      <c r="D150" s="180" t="s">
        <v>515</v>
      </c>
      <c r="E150" s="182">
        <v>0</v>
      </c>
    </row>
    <row r="151" spans="1:5" x14ac:dyDescent="0.25">
      <c r="A151" s="179">
        <v>2026</v>
      </c>
      <c r="B151" s="180" t="s">
        <v>169</v>
      </c>
      <c r="C151" s="181" t="s">
        <v>169</v>
      </c>
      <c r="D151" s="180" t="s">
        <v>516</v>
      </c>
      <c r="E151" s="182">
        <v>17436</v>
      </c>
    </row>
    <row r="152" spans="1:5" x14ac:dyDescent="0.25">
      <c r="A152" s="179">
        <v>2026</v>
      </c>
      <c r="B152" s="180" t="s">
        <v>170</v>
      </c>
      <c r="C152" s="181" t="s">
        <v>170</v>
      </c>
      <c r="D152" s="180" t="s">
        <v>517</v>
      </c>
      <c r="E152" s="182">
        <v>3859</v>
      </c>
    </row>
    <row r="153" spans="1:5" x14ac:dyDescent="0.25">
      <c r="A153" s="179">
        <v>2026</v>
      </c>
      <c r="B153" s="180" t="s">
        <v>171</v>
      </c>
      <c r="C153" s="181" t="s">
        <v>171</v>
      </c>
      <c r="D153" s="180" t="s">
        <v>518</v>
      </c>
      <c r="E153" s="182">
        <v>314</v>
      </c>
    </row>
    <row r="154" spans="1:5" x14ac:dyDescent="0.25">
      <c r="A154" s="179">
        <v>2026</v>
      </c>
      <c r="B154" s="180" t="s">
        <v>172</v>
      </c>
      <c r="C154" s="181" t="s">
        <v>172</v>
      </c>
      <c r="D154" s="180" t="s">
        <v>519</v>
      </c>
      <c r="E154" s="182">
        <v>260</v>
      </c>
    </row>
    <row r="155" spans="1:5" x14ac:dyDescent="0.25">
      <c r="A155" s="179">
        <v>2026</v>
      </c>
      <c r="B155" s="180" t="s">
        <v>173</v>
      </c>
      <c r="C155" s="181" t="s">
        <v>173</v>
      </c>
      <c r="D155" s="180" t="s">
        <v>520</v>
      </c>
      <c r="E155" s="182">
        <v>1332</v>
      </c>
    </row>
    <row r="156" spans="1:5" x14ac:dyDescent="0.25">
      <c r="A156" s="179">
        <v>2026</v>
      </c>
      <c r="B156" s="180" t="s">
        <v>174</v>
      </c>
      <c r="C156" s="181" t="s">
        <v>174</v>
      </c>
      <c r="D156" s="180" t="s">
        <v>521</v>
      </c>
      <c r="E156" s="182">
        <v>1310</v>
      </c>
    </row>
    <row r="157" spans="1:5" x14ac:dyDescent="0.25">
      <c r="A157" s="179">
        <v>2026</v>
      </c>
      <c r="B157" s="180" t="s">
        <v>175</v>
      </c>
      <c r="C157" s="181" t="s">
        <v>175</v>
      </c>
      <c r="D157" s="180" t="s">
        <v>522</v>
      </c>
      <c r="E157" s="182">
        <v>139</v>
      </c>
    </row>
    <row r="158" spans="1:5" x14ac:dyDescent="0.25">
      <c r="A158" s="179">
        <v>2026</v>
      </c>
      <c r="B158" s="180" t="s">
        <v>176</v>
      </c>
      <c r="C158" s="181" t="s">
        <v>176</v>
      </c>
      <c r="D158" s="180" t="s">
        <v>523</v>
      </c>
      <c r="E158" s="182">
        <v>608</v>
      </c>
    </row>
    <row r="159" spans="1:5" x14ac:dyDescent="0.25">
      <c r="A159" s="179">
        <v>2026</v>
      </c>
      <c r="B159" s="180" t="s">
        <v>177</v>
      </c>
      <c r="C159" s="181" t="s">
        <v>177</v>
      </c>
      <c r="D159" s="180" t="s">
        <v>524</v>
      </c>
      <c r="E159" s="182">
        <v>121</v>
      </c>
    </row>
    <row r="160" spans="1:5" x14ac:dyDescent="0.25">
      <c r="A160" s="179">
        <v>2026</v>
      </c>
      <c r="B160" s="180" t="s">
        <v>179</v>
      </c>
      <c r="C160" s="181" t="s">
        <v>179</v>
      </c>
      <c r="D160" s="180" t="s">
        <v>526</v>
      </c>
      <c r="E160" s="182">
        <v>627</v>
      </c>
    </row>
    <row r="161" spans="1:5" x14ac:dyDescent="0.25">
      <c r="A161" s="179">
        <v>2026</v>
      </c>
      <c r="B161" s="180" t="s">
        <v>180</v>
      </c>
      <c r="C161" s="181" t="s">
        <v>180</v>
      </c>
      <c r="D161" s="180" t="s">
        <v>527</v>
      </c>
      <c r="E161" s="182">
        <v>8</v>
      </c>
    </row>
    <row r="162" spans="1:5" x14ac:dyDescent="0.25">
      <c r="A162" s="179">
        <v>2026</v>
      </c>
      <c r="B162" s="180" t="s">
        <v>181</v>
      </c>
      <c r="C162" s="181" t="s">
        <v>181</v>
      </c>
      <c r="D162" s="180" t="s">
        <v>528</v>
      </c>
      <c r="E162" s="182">
        <v>2430</v>
      </c>
    </row>
    <row r="163" spans="1:5" x14ac:dyDescent="0.25">
      <c r="A163" s="179">
        <v>2026</v>
      </c>
      <c r="B163" s="180" t="s">
        <v>183</v>
      </c>
      <c r="C163" s="181" t="s">
        <v>183</v>
      </c>
      <c r="D163" s="180" t="s">
        <v>530</v>
      </c>
      <c r="E163" s="182">
        <v>13521</v>
      </c>
    </row>
    <row r="164" spans="1:5" x14ac:dyDescent="0.25">
      <c r="A164" s="179">
        <v>2026</v>
      </c>
      <c r="B164" s="180" t="s">
        <v>184</v>
      </c>
      <c r="C164" s="181" t="s">
        <v>184</v>
      </c>
      <c r="D164" s="180" t="s">
        <v>531</v>
      </c>
      <c r="E164" s="182">
        <v>0</v>
      </c>
    </row>
    <row r="165" spans="1:5" x14ac:dyDescent="0.25">
      <c r="A165" s="179">
        <v>2026</v>
      </c>
      <c r="B165" s="180" t="s">
        <v>185</v>
      </c>
      <c r="C165" s="181" t="s">
        <v>185</v>
      </c>
      <c r="D165" s="180" t="s">
        <v>532</v>
      </c>
      <c r="E165" s="182">
        <v>783</v>
      </c>
    </row>
    <row r="166" spans="1:5" x14ac:dyDescent="0.25">
      <c r="A166" s="179">
        <v>2026</v>
      </c>
      <c r="B166" s="180" t="s">
        <v>186</v>
      </c>
      <c r="C166" s="181" t="s">
        <v>186</v>
      </c>
      <c r="D166" s="180" t="s">
        <v>533</v>
      </c>
      <c r="E166" s="182">
        <v>50</v>
      </c>
    </row>
    <row r="167" spans="1:5" x14ac:dyDescent="0.25">
      <c r="A167" s="179">
        <v>2026</v>
      </c>
      <c r="B167" s="180" t="s">
        <v>187</v>
      </c>
      <c r="C167" s="181" t="s">
        <v>187</v>
      </c>
      <c r="D167" s="180" t="s">
        <v>534</v>
      </c>
      <c r="E167" s="182">
        <v>422</v>
      </c>
    </row>
    <row r="168" spans="1:5" x14ac:dyDescent="0.25">
      <c r="A168" s="179">
        <v>2026</v>
      </c>
      <c r="B168" s="180" t="s">
        <v>189</v>
      </c>
      <c r="C168" s="181" t="s">
        <v>189</v>
      </c>
      <c r="D168" s="180" t="s">
        <v>535</v>
      </c>
      <c r="E168" s="182">
        <v>102</v>
      </c>
    </row>
    <row r="169" spans="1:5" x14ac:dyDescent="0.25">
      <c r="A169" s="179">
        <v>2026</v>
      </c>
      <c r="B169" s="180" t="s">
        <v>190</v>
      </c>
      <c r="C169" s="181" t="s">
        <v>190</v>
      </c>
      <c r="D169" s="180" t="s">
        <v>536</v>
      </c>
      <c r="E169" s="182">
        <v>1286</v>
      </c>
    </row>
    <row r="170" spans="1:5" x14ac:dyDescent="0.25">
      <c r="A170" s="179">
        <v>2026</v>
      </c>
      <c r="B170" s="180" t="s">
        <v>192</v>
      </c>
      <c r="C170" s="181" t="s">
        <v>192</v>
      </c>
      <c r="D170" s="180" t="s">
        <v>538</v>
      </c>
      <c r="E170" s="182">
        <v>882</v>
      </c>
    </row>
    <row r="171" spans="1:5" x14ac:dyDescent="0.25">
      <c r="A171" s="179">
        <v>2026</v>
      </c>
      <c r="B171" s="180" t="s">
        <v>193</v>
      </c>
      <c r="C171" s="181" t="s">
        <v>193</v>
      </c>
      <c r="D171" s="180" t="s">
        <v>539</v>
      </c>
      <c r="E171" s="182">
        <v>1452</v>
      </c>
    </row>
    <row r="172" spans="1:5" x14ac:dyDescent="0.25">
      <c r="A172" s="179">
        <v>2026</v>
      </c>
      <c r="B172" s="180" t="s">
        <v>194</v>
      </c>
      <c r="C172" s="181" t="s">
        <v>194</v>
      </c>
      <c r="D172" s="180" t="s">
        <v>540</v>
      </c>
      <c r="E172" s="182">
        <v>3025</v>
      </c>
    </row>
    <row r="173" spans="1:5" x14ac:dyDescent="0.25">
      <c r="A173" s="179">
        <v>2026</v>
      </c>
      <c r="B173" s="180" t="s">
        <v>195</v>
      </c>
      <c r="C173" s="181" t="s">
        <v>195</v>
      </c>
      <c r="D173" s="180" t="s">
        <v>541</v>
      </c>
      <c r="E173" s="182">
        <v>73</v>
      </c>
    </row>
    <row r="174" spans="1:5" x14ac:dyDescent="0.25">
      <c r="A174" s="179">
        <v>2026</v>
      </c>
      <c r="B174" s="180" t="s">
        <v>196</v>
      </c>
      <c r="C174" s="181" t="s">
        <v>196</v>
      </c>
      <c r="D174" s="180" t="s">
        <v>542</v>
      </c>
      <c r="E174" s="182">
        <v>781</v>
      </c>
    </row>
    <row r="175" spans="1:5" x14ac:dyDescent="0.25">
      <c r="A175" s="179">
        <v>2026</v>
      </c>
      <c r="B175" s="180" t="s">
        <v>197</v>
      </c>
      <c r="C175" s="181" t="s">
        <v>197</v>
      </c>
      <c r="D175" s="180" t="s">
        <v>543</v>
      </c>
      <c r="E175" s="182">
        <v>2056</v>
      </c>
    </row>
    <row r="176" spans="1:5" x14ac:dyDescent="0.25">
      <c r="A176" s="179">
        <v>2026</v>
      </c>
      <c r="B176" s="180" t="s">
        <v>198</v>
      </c>
      <c r="C176" s="181" t="s">
        <v>198</v>
      </c>
      <c r="D176" s="180" t="s">
        <v>544</v>
      </c>
      <c r="E176" s="182">
        <v>5833</v>
      </c>
    </row>
    <row r="177" spans="1:5" x14ac:dyDescent="0.25">
      <c r="A177" s="179">
        <v>2026</v>
      </c>
      <c r="B177" s="180" t="s">
        <v>199</v>
      </c>
      <c r="C177" s="181" t="s">
        <v>199</v>
      </c>
      <c r="D177" s="180" t="s">
        <v>545</v>
      </c>
      <c r="E177" s="182">
        <v>285</v>
      </c>
    </row>
    <row r="178" spans="1:5" x14ac:dyDescent="0.25">
      <c r="A178" s="179">
        <v>2026</v>
      </c>
      <c r="B178" s="180" t="s">
        <v>200</v>
      </c>
      <c r="C178" s="181" t="s">
        <v>200</v>
      </c>
      <c r="D178" s="180" t="s">
        <v>546</v>
      </c>
      <c r="E178" s="182">
        <v>13509</v>
      </c>
    </row>
    <row r="179" spans="1:5" x14ac:dyDescent="0.25">
      <c r="A179" s="179">
        <v>2026</v>
      </c>
      <c r="B179" s="180" t="s">
        <v>202</v>
      </c>
      <c r="C179" s="181" t="s">
        <v>202</v>
      </c>
      <c r="D179" s="180" t="s">
        <v>548</v>
      </c>
      <c r="E179" s="182">
        <v>192</v>
      </c>
    </row>
    <row r="180" spans="1:5" x14ac:dyDescent="0.25">
      <c r="A180" s="179">
        <v>2026</v>
      </c>
      <c r="B180" s="180" t="s">
        <v>203</v>
      </c>
      <c r="C180" s="181" t="s">
        <v>203</v>
      </c>
      <c r="D180" s="180" t="s">
        <v>549</v>
      </c>
      <c r="E180" s="182">
        <v>238</v>
      </c>
    </row>
    <row r="181" spans="1:5" x14ac:dyDescent="0.25">
      <c r="A181" s="179">
        <v>2026</v>
      </c>
      <c r="B181" s="180" t="s">
        <v>207</v>
      </c>
      <c r="C181" s="181" t="s">
        <v>207</v>
      </c>
      <c r="D181" s="180" t="s">
        <v>553</v>
      </c>
      <c r="E181" s="182">
        <v>1771</v>
      </c>
    </row>
    <row r="182" spans="1:5" x14ac:dyDescent="0.25">
      <c r="A182" s="179">
        <v>2026</v>
      </c>
      <c r="B182" s="180" t="s">
        <v>204</v>
      </c>
      <c r="C182" s="181" t="s">
        <v>204</v>
      </c>
      <c r="D182" s="180" t="s">
        <v>550</v>
      </c>
      <c r="E182" s="182">
        <v>434</v>
      </c>
    </row>
    <row r="183" spans="1:5" x14ac:dyDescent="0.25">
      <c r="A183" s="179">
        <v>2026</v>
      </c>
      <c r="B183" s="180" t="s">
        <v>205</v>
      </c>
      <c r="C183" s="181" t="s">
        <v>205</v>
      </c>
      <c r="D183" s="180" t="s">
        <v>551</v>
      </c>
      <c r="E183" s="182">
        <v>1075</v>
      </c>
    </row>
    <row r="184" spans="1:5" x14ac:dyDescent="0.25">
      <c r="A184" s="179">
        <v>2026</v>
      </c>
      <c r="B184" s="180" t="s">
        <v>206</v>
      </c>
      <c r="C184" s="181" t="s">
        <v>206</v>
      </c>
      <c r="D184" s="180" t="s">
        <v>552</v>
      </c>
      <c r="E184" s="182">
        <v>92</v>
      </c>
    </row>
    <row r="185" spans="1:5" x14ac:dyDescent="0.25">
      <c r="A185" s="179">
        <v>2026</v>
      </c>
      <c r="B185" s="180" t="s">
        <v>201</v>
      </c>
      <c r="C185" s="181" t="s">
        <v>201</v>
      </c>
      <c r="D185" s="180" t="s">
        <v>547</v>
      </c>
      <c r="E185" s="182">
        <v>1721</v>
      </c>
    </row>
    <row r="186" spans="1:5" x14ac:dyDescent="0.25">
      <c r="A186" s="179">
        <v>2026</v>
      </c>
      <c r="B186" s="180" t="s">
        <v>208</v>
      </c>
      <c r="C186" s="181" t="s">
        <v>208</v>
      </c>
      <c r="D186" s="180" t="s">
        <v>554</v>
      </c>
      <c r="E186" s="182">
        <v>704</v>
      </c>
    </row>
    <row r="187" spans="1:5" x14ac:dyDescent="0.25">
      <c r="A187" s="179">
        <v>2026</v>
      </c>
      <c r="B187" s="180" t="s">
        <v>209</v>
      </c>
      <c r="C187" s="181" t="s">
        <v>209</v>
      </c>
      <c r="D187" s="180" t="s">
        <v>555</v>
      </c>
      <c r="E187" s="182">
        <v>508</v>
      </c>
    </row>
    <row r="188" spans="1:5" x14ac:dyDescent="0.25">
      <c r="A188" s="179">
        <v>2026</v>
      </c>
      <c r="B188" s="180" t="s">
        <v>210</v>
      </c>
      <c r="C188" s="181" t="s">
        <v>210</v>
      </c>
      <c r="D188" s="180" t="s">
        <v>556</v>
      </c>
      <c r="E188" s="182">
        <v>434</v>
      </c>
    </row>
    <row r="189" spans="1:5" x14ac:dyDescent="0.25">
      <c r="A189" s="179">
        <v>2026</v>
      </c>
      <c r="B189" s="180" t="s">
        <v>211</v>
      </c>
      <c r="C189" s="181" t="s">
        <v>211</v>
      </c>
      <c r="D189" s="180" t="s">
        <v>557</v>
      </c>
      <c r="E189" s="182">
        <v>40</v>
      </c>
    </row>
    <row r="190" spans="1:5" x14ac:dyDescent="0.25">
      <c r="A190" s="179">
        <v>2026</v>
      </c>
      <c r="B190" s="180" t="s">
        <v>212</v>
      </c>
      <c r="C190" s="181" t="s">
        <v>212</v>
      </c>
      <c r="D190" s="180" t="s">
        <v>558</v>
      </c>
      <c r="E190" s="182">
        <v>515</v>
      </c>
    </row>
    <row r="191" spans="1:5" x14ac:dyDescent="0.25">
      <c r="A191" s="179">
        <v>2026</v>
      </c>
      <c r="B191" s="180" t="s">
        <v>213</v>
      </c>
      <c r="C191" s="181" t="s">
        <v>213</v>
      </c>
      <c r="D191" s="180" t="s">
        <v>559</v>
      </c>
      <c r="E191" s="182">
        <v>271</v>
      </c>
    </row>
    <row r="192" spans="1:5" x14ac:dyDescent="0.25">
      <c r="A192" s="179">
        <v>2026</v>
      </c>
      <c r="B192" s="180" t="s">
        <v>214</v>
      </c>
      <c r="C192" s="181" t="s">
        <v>214</v>
      </c>
      <c r="D192" s="180" t="s">
        <v>560</v>
      </c>
      <c r="E192" s="182">
        <v>0</v>
      </c>
    </row>
    <row r="193" spans="1:5" x14ac:dyDescent="0.25">
      <c r="A193" s="179">
        <v>2026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2026</v>
      </c>
      <c r="B194" s="180" t="s">
        <v>216</v>
      </c>
      <c r="C194" s="181" t="s">
        <v>216</v>
      </c>
      <c r="D194" s="180" t="s">
        <v>562</v>
      </c>
      <c r="E194" s="182">
        <v>1364</v>
      </c>
    </row>
    <row r="195" spans="1:5" x14ac:dyDescent="0.25">
      <c r="A195" s="179">
        <v>2026</v>
      </c>
      <c r="B195" s="180" t="s">
        <v>217</v>
      </c>
      <c r="C195" s="181" t="s">
        <v>217</v>
      </c>
      <c r="D195" s="180" t="s">
        <v>563</v>
      </c>
      <c r="E195" s="182">
        <v>90</v>
      </c>
    </row>
    <row r="196" spans="1:5" x14ac:dyDescent="0.25">
      <c r="A196" s="179">
        <v>2026</v>
      </c>
      <c r="B196" s="180" t="s">
        <v>218</v>
      </c>
      <c r="C196" s="181" t="s">
        <v>218</v>
      </c>
      <c r="D196" s="180" t="s">
        <v>564</v>
      </c>
      <c r="E196" s="182">
        <v>1964</v>
      </c>
    </row>
    <row r="197" spans="1:5" x14ac:dyDescent="0.25">
      <c r="A197" s="179">
        <v>2026</v>
      </c>
      <c r="B197" s="180" t="s">
        <v>219</v>
      </c>
      <c r="C197" s="181" t="s">
        <v>219</v>
      </c>
      <c r="D197" s="180" t="s">
        <v>565</v>
      </c>
      <c r="E197" s="182">
        <v>268</v>
      </c>
    </row>
    <row r="198" spans="1:5" x14ac:dyDescent="0.25">
      <c r="A198" s="179">
        <v>2026</v>
      </c>
      <c r="B198" s="180" t="s">
        <v>220</v>
      </c>
      <c r="C198" s="181" t="s">
        <v>220</v>
      </c>
      <c r="D198" s="180" t="s">
        <v>566</v>
      </c>
      <c r="E198" s="182">
        <v>1617</v>
      </c>
    </row>
    <row r="199" spans="1:5" x14ac:dyDescent="0.25">
      <c r="A199" s="179">
        <v>2026</v>
      </c>
      <c r="B199" s="180" t="s">
        <v>222</v>
      </c>
      <c r="C199" s="181" t="s">
        <v>222</v>
      </c>
      <c r="D199" s="180" t="s">
        <v>568</v>
      </c>
      <c r="E199" s="182">
        <v>2404</v>
      </c>
    </row>
    <row r="200" spans="1:5" x14ac:dyDescent="0.25">
      <c r="A200" s="179">
        <v>2026</v>
      </c>
      <c r="B200" s="180" t="s">
        <v>223</v>
      </c>
      <c r="C200" s="181" t="s">
        <v>223</v>
      </c>
      <c r="D200" s="180" t="s">
        <v>569</v>
      </c>
      <c r="E200" s="182">
        <v>887</v>
      </c>
    </row>
    <row r="201" spans="1:5" x14ac:dyDescent="0.25">
      <c r="A201" s="179">
        <v>2026</v>
      </c>
      <c r="B201" s="180" t="s">
        <v>221</v>
      </c>
      <c r="C201" s="181" t="s">
        <v>221</v>
      </c>
      <c r="D201" s="180" t="s">
        <v>567</v>
      </c>
      <c r="E201" s="182">
        <v>237</v>
      </c>
    </row>
    <row r="202" spans="1:5" x14ac:dyDescent="0.25">
      <c r="A202" s="179">
        <v>2026</v>
      </c>
      <c r="B202" s="180" t="s">
        <v>224</v>
      </c>
      <c r="C202" s="181" t="s">
        <v>224</v>
      </c>
      <c r="D202" s="180" t="s">
        <v>570</v>
      </c>
      <c r="E202" s="182">
        <v>1100</v>
      </c>
    </row>
    <row r="203" spans="1:5" x14ac:dyDescent="0.25">
      <c r="A203" s="179">
        <v>2026</v>
      </c>
      <c r="B203" s="180" t="s">
        <v>140</v>
      </c>
      <c r="C203" s="181" t="s">
        <v>140</v>
      </c>
      <c r="D203" s="180" t="s">
        <v>489</v>
      </c>
      <c r="E203" s="182">
        <v>1060</v>
      </c>
    </row>
    <row r="204" spans="1:5" x14ac:dyDescent="0.25">
      <c r="A204" s="179">
        <v>2026</v>
      </c>
      <c r="B204" s="180" t="s">
        <v>28</v>
      </c>
      <c r="C204" s="181" t="s">
        <v>28</v>
      </c>
      <c r="D204" s="180" t="s">
        <v>382</v>
      </c>
      <c r="E204" s="182">
        <v>1557</v>
      </c>
    </row>
    <row r="205" spans="1:5" x14ac:dyDescent="0.25">
      <c r="A205" s="179">
        <v>2026</v>
      </c>
      <c r="B205" s="180" t="s">
        <v>182</v>
      </c>
      <c r="C205" s="181" t="s">
        <v>182</v>
      </c>
      <c r="D205" s="180" t="s">
        <v>529</v>
      </c>
      <c r="E205" s="182">
        <v>2258</v>
      </c>
    </row>
    <row r="206" spans="1:5" x14ac:dyDescent="0.25">
      <c r="A206" s="179">
        <v>2026</v>
      </c>
      <c r="B206" s="180" t="s">
        <v>227</v>
      </c>
      <c r="C206" s="181" t="s">
        <v>227</v>
      </c>
      <c r="D206" s="180" t="s">
        <v>787</v>
      </c>
      <c r="E206" s="182">
        <v>1530</v>
      </c>
    </row>
    <row r="207" spans="1:5" x14ac:dyDescent="0.25">
      <c r="A207" s="179">
        <v>2026</v>
      </c>
      <c r="B207" s="180" t="s">
        <v>56</v>
      </c>
      <c r="C207" s="181" t="s">
        <v>56</v>
      </c>
      <c r="D207" s="180" t="s">
        <v>407</v>
      </c>
      <c r="E207" s="182">
        <v>596</v>
      </c>
    </row>
    <row r="208" spans="1:5" x14ac:dyDescent="0.25">
      <c r="A208" s="179">
        <v>2026</v>
      </c>
      <c r="B208" s="180" t="s">
        <v>231</v>
      </c>
      <c r="C208" s="181" t="s">
        <v>231</v>
      </c>
      <c r="D208" s="180" t="s">
        <v>575</v>
      </c>
      <c r="E208" s="182">
        <v>355</v>
      </c>
    </row>
    <row r="209" spans="1:5" x14ac:dyDescent="0.25">
      <c r="A209" s="179">
        <v>2026</v>
      </c>
      <c r="B209" s="180" t="s">
        <v>230</v>
      </c>
      <c r="C209" s="181" t="s">
        <v>230</v>
      </c>
      <c r="D209" s="180" t="s">
        <v>574</v>
      </c>
      <c r="E209" s="182">
        <v>528</v>
      </c>
    </row>
    <row r="210" spans="1:5" x14ac:dyDescent="0.25">
      <c r="A210" s="179">
        <v>2026</v>
      </c>
      <c r="B210" s="180" t="s">
        <v>229</v>
      </c>
      <c r="C210" s="181" t="s">
        <v>229</v>
      </c>
      <c r="D210" s="180" t="s">
        <v>573</v>
      </c>
      <c r="E210" s="182">
        <v>433</v>
      </c>
    </row>
    <row r="211" spans="1:5" x14ac:dyDescent="0.25">
      <c r="A211" s="179">
        <v>2026</v>
      </c>
      <c r="B211" s="180" t="s">
        <v>232</v>
      </c>
      <c r="C211" s="181" t="s">
        <v>232</v>
      </c>
      <c r="D211" s="180" t="s">
        <v>576</v>
      </c>
      <c r="E211" s="182">
        <v>4148</v>
      </c>
    </row>
    <row r="212" spans="1:5" x14ac:dyDescent="0.25">
      <c r="A212" s="179">
        <v>2026</v>
      </c>
      <c r="B212" s="180" t="s">
        <v>233</v>
      </c>
      <c r="C212" s="181" t="s">
        <v>233</v>
      </c>
      <c r="D212" s="180" t="s">
        <v>577</v>
      </c>
      <c r="E212" s="182">
        <v>2292</v>
      </c>
    </row>
    <row r="213" spans="1:5" x14ac:dyDescent="0.25">
      <c r="A213" s="179">
        <v>2026</v>
      </c>
      <c r="B213" s="180" t="s">
        <v>234</v>
      </c>
      <c r="C213" s="181" t="s">
        <v>234</v>
      </c>
      <c r="D213" s="180" t="s">
        <v>578</v>
      </c>
      <c r="E213" s="182">
        <v>493</v>
      </c>
    </row>
    <row r="214" spans="1:5" x14ac:dyDescent="0.25">
      <c r="A214" s="179">
        <v>2026</v>
      </c>
      <c r="B214" s="180" t="s">
        <v>35</v>
      </c>
      <c r="C214" s="181" t="s">
        <v>35</v>
      </c>
      <c r="D214" s="180" t="s">
        <v>388</v>
      </c>
      <c r="E214" s="182">
        <v>372</v>
      </c>
    </row>
    <row r="215" spans="1:5" x14ac:dyDescent="0.25">
      <c r="A215" s="179">
        <v>2026</v>
      </c>
      <c r="B215" s="180" t="s">
        <v>226</v>
      </c>
      <c r="C215" s="181" t="s">
        <v>226</v>
      </c>
      <c r="D215" s="180" t="s">
        <v>572</v>
      </c>
      <c r="E215" s="182">
        <v>774</v>
      </c>
    </row>
    <row r="216" spans="1:5" x14ac:dyDescent="0.25">
      <c r="A216" s="179">
        <v>2026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2026</v>
      </c>
      <c r="B217" s="180" t="s">
        <v>236</v>
      </c>
      <c r="C217" s="181" t="s">
        <v>236</v>
      </c>
      <c r="D217" s="180" t="s">
        <v>580</v>
      </c>
      <c r="E217" s="182">
        <v>3756</v>
      </c>
    </row>
    <row r="218" spans="1:5" x14ac:dyDescent="0.25">
      <c r="A218" s="179">
        <v>2026</v>
      </c>
      <c r="B218" s="180" t="s">
        <v>238</v>
      </c>
      <c r="C218" s="181" t="s">
        <v>238</v>
      </c>
      <c r="D218" s="180" t="s">
        <v>801</v>
      </c>
      <c r="E218" s="182">
        <v>980</v>
      </c>
    </row>
    <row r="219" spans="1:5" x14ac:dyDescent="0.25">
      <c r="A219" s="179">
        <v>2026</v>
      </c>
      <c r="B219" s="180" t="s">
        <v>239</v>
      </c>
      <c r="C219" s="181" t="s">
        <v>239</v>
      </c>
      <c r="D219" s="180" t="s">
        <v>582</v>
      </c>
      <c r="E219" s="182">
        <v>887</v>
      </c>
    </row>
    <row r="220" spans="1:5" x14ac:dyDescent="0.25">
      <c r="A220" s="179">
        <v>2026</v>
      </c>
      <c r="B220" s="180" t="s">
        <v>240</v>
      </c>
      <c r="C220" s="181" t="s">
        <v>240</v>
      </c>
      <c r="D220" s="180" t="s">
        <v>583</v>
      </c>
      <c r="E220" s="182">
        <v>36</v>
      </c>
    </row>
    <row r="221" spans="1:5" x14ac:dyDescent="0.25">
      <c r="A221" s="179">
        <v>2026</v>
      </c>
      <c r="B221" s="180" t="s">
        <v>241</v>
      </c>
      <c r="C221" s="181" t="s">
        <v>241</v>
      </c>
      <c r="D221" s="180" t="s">
        <v>584</v>
      </c>
      <c r="E221" s="182">
        <v>421</v>
      </c>
    </row>
    <row r="222" spans="1:5" x14ac:dyDescent="0.25">
      <c r="A222" s="179">
        <v>2026</v>
      </c>
      <c r="B222" s="180" t="s">
        <v>242</v>
      </c>
      <c r="C222" s="181" t="s">
        <v>242</v>
      </c>
      <c r="D222" s="180" t="s">
        <v>585</v>
      </c>
      <c r="E222" s="182">
        <v>879</v>
      </c>
    </row>
    <row r="223" spans="1:5" x14ac:dyDescent="0.25">
      <c r="A223" s="179">
        <v>2026</v>
      </c>
      <c r="B223" s="180" t="s">
        <v>243</v>
      </c>
      <c r="C223" s="181" t="s">
        <v>243</v>
      </c>
      <c r="D223" s="180" t="s">
        <v>586</v>
      </c>
      <c r="E223" s="182">
        <v>599</v>
      </c>
    </row>
    <row r="224" spans="1:5" x14ac:dyDescent="0.25">
      <c r="A224" s="179">
        <v>2026</v>
      </c>
      <c r="B224" s="180" t="s">
        <v>244</v>
      </c>
      <c r="C224" s="181" t="s">
        <v>244</v>
      </c>
      <c r="D224" s="180" t="s">
        <v>587</v>
      </c>
      <c r="E224" s="182">
        <v>1512</v>
      </c>
    </row>
    <row r="225" spans="1:5" x14ac:dyDescent="0.25">
      <c r="A225" s="179">
        <v>2026</v>
      </c>
      <c r="B225" s="180" t="s">
        <v>245</v>
      </c>
      <c r="C225" s="181" t="s">
        <v>245</v>
      </c>
      <c r="D225" s="180" t="s">
        <v>588</v>
      </c>
      <c r="E225" s="182">
        <v>2613</v>
      </c>
    </row>
    <row r="226" spans="1:5" x14ac:dyDescent="0.25">
      <c r="A226" s="179">
        <v>2026</v>
      </c>
      <c r="B226" s="180" t="s">
        <v>246</v>
      </c>
      <c r="C226" s="181" t="s">
        <v>246</v>
      </c>
      <c r="D226" s="180" t="s">
        <v>589</v>
      </c>
      <c r="E226" s="182">
        <v>1440</v>
      </c>
    </row>
    <row r="227" spans="1:5" x14ac:dyDescent="0.25">
      <c r="A227" s="179">
        <v>2026</v>
      </c>
      <c r="B227" s="180" t="s">
        <v>247</v>
      </c>
      <c r="C227" s="181" t="s">
        <v>247</v>
      </c>
      <c r="D227" s="180" t="s">
        <v>590</v>
      </c>
      <c r="E227" s="182">
        <v>1715</v>
      </c>
    </row>
    <row r="228" spans="1:5" x14ac:dyDescent="0.25">
      <c r="A228" s="179">
        <v>2026</v>
      </c>
      <c r="B228" s="180" t="s">
        <v>248</v>
      </c>
      <c r="C228" s="181" t="s">
        <v>248</v>
      </c>
      <c r="D228" s="180" t="s">
        <v>591</v>
      </c>
      <c r="E228" s="182">
        <v>210</v>
      </c>
    </row>
    <row r="229" spans="1:5" x14ac:dyDescent="0.25">
      <c r="A229" s="179">
        <v>2026</v>
      </c>
      <c r="B229" s="180" t="s">
        <v>257</v>
      </c>
      <c r="C229" s="181" t="s">
        <v>689</v>
      </c>
      <c r="D229" s="180" t="s">
        <v>6</v>
      </c>
      <c r="E229" s="182">
        <v>1397</v>
      </c>
    </row>
    <row r="230" spans="1:5" x14ac:dyDescent="0.25">
      <c r="A230" s="179">
        <v>2026</v>
      </c>
      <c r="B230" s="180" t="s">
        <v>250</v>
      </c>
      <c r="C230" s="181" t="s">
        <v>250</v>
      </c>
      <c r="D230" s="180" t="s">
        <v>593</v>
      </c>
      <c r="E230" s="182">
        <v>691</v>
      </c>
    </row>
    <row r="231" spans="1:5" x14ac:dyDescent="0.25">
      <c r="A231" s="179">
        <v>2026</v>
      </c>
      <c r="B231" s="180" t="s">
        <v>251</v>
      </c>
      <c r="C231" s="181" t="s">
        <v>251</v>
      </c>
      <c r="D231" s="180" t="s">
        <v>594</v>
      </c>
      <c r="E231" s="182">
        <v>3091</v>
      </c>
    </row>
    <row r="232" spans="1:5" x14ac:dyDescent="0.25">
      <c r="A232" s="179">
        <v>2026</v>
      </c>
      <c r="B232" s="180" t="s">
        <v>252</v>
      </c>
      <c r="C232" s="181" t="s">
        <v>252</v>
      </c>
      <c r="D232" s="180" t="s">
        <v>595</v>
      </c>
      <c r="E232" s="182">
        <v>3367</v>
      </c>
    </row>
    <row r="233" spans="1:5" x14ac:dyDescent="0.25">
      <c r="A233" s="179">
        <v>2026</v>
      </c>
      <c r="B233" s="180" t="s">
        <v>253</v>
      </c>
      <c r="C233" s="181" t="s">
        <v>253</v>
      </c>
      <c r="D233" s="180" t="s">
        <v>596</v>
      </c>
      <c r="E233" s="182">
        <v>4541</v>
      </c>
    </row>
    <row r="234" spans="1:5" x14ac:dyDescent="0.25">
      <c r="A234" s="179">
        <v>2026</v>
      </c>
      <c r="B234" s="180" t="s">
        <v>254</v>
      </c>
      <c r="C234" s="181" t="s">
        <v>254</v>
      </c>
      <c r="D234" s="180" t="s">
        <v>597</v>
      </c>
      <c r="E234" s="182">
        <v>1018</v>
      </c>
    </row>
    <row r="235" spans="1:5" x14ac:dyDescent="0.25">
      <c r="A235" s="179">
        <v>2026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2026</v>
      </c>
      <c r="B236" s="180" t="s">
        <v>256</v>
      </c>
      <c r="C236" s="181" t="s">
        <v>256</v>
      </c>
      <c r="D236" s="180" t="s">
        <v>599</v>
      </c>
      <c r="E236" s="182">
        <v>276</v>
      </c>
    </row>
    <row r="237" spans="1:5" x14ac:dyDescent="0.25">
      <c r="A237" s="179">
        <v>2026</v>
      </c>
      <c r="B237" s="180" t="s">
        <v>259</v>
      </c>
      <c r="C237" s="181" t="s">
        <v>259</v>
      </c>
      <c r="D237" s="180" t="s">
        <v>600</v>
      </c>
      <c r="E237" s="182">
        <v>682</v>
      </c>
    </row>
    <row r="238" spans="1:5" x14ac:dyDescent="0.25">
      <c r="A238" s="179">
        <v>2026</v>
      </c>
      <c r="B238" s="180" t="s">
        <v>260</v>
      </c>
      <c r="C238" s="181" t="s">
        <v>260</v>
      </c>
      <c r="D238" s="180" t="s">
        <v>601</v>
      </c>
      <c r="E238" s="182">
        <v>650</v>
      </c>
    </row>
    <row r="239" spans="1:5" x14ac:dyDescent="0.25">
      <c r="A239" s="179">
        <v>2026</v>
      </c>
      <c r="B239" s="180" t="s">
        <v>261</v>
      </c>
      <c r="C239" s="181" t="s">
        <v>261</v>
      </c>
      <c r="D239" s="180" t="s">
        <v>602</v>
      </c>
      <c r="E239" s="182">
        <v>1505</v>
      </c>
    </row>
    <row r="240" spans="1:5" x14ac:dyDescent="0.25">
      <c r="A240" s="179">
        <v>2026</v>
      </c>
      <c r="B240" s="180" t="s">
        <v>118</v>
      </c>
      <c r="C240" s="181" t="s">
        <v>118</v>
      </c>
      <c r="D240" s="180" t="s">
        <v>467</v>
      </c>
      <c r="E240" s="182">
        <v>473</v>
      </c>
    </row>
    <row r="241" spans="1:5" x14ac:dyDescent="0.25">
      <c r="A241" s="179">
        <v>2026</v>
      </c>
      <c r="B241" s="180" t="s">
        <v>237</v>
      </c>
      <c r="C241" s="181" t="s">
        <v>687</v>
      </c>
      <c r="D241" s="180" t="s">
        <v>581</v>
      </c>
      <c r="E241" s="182">
        <v>2653</v>
      </c>
    </row>
    <row r="242" spans="1:5" x14ac:dyDescent="0.25">
      <c r="A242" s="179">
        <v>2026</v>
      </c>
      <c r="B242" s="180" t="s">
        <v>262</v>
      </c>
      <c r="C242" s="181" t="s">
        <v>262</v>
      </c>
      <c r="D242" s="180" t="s">
        <v>603</v>
      </c>
      <c r="E242" s="182">
        <v>220</v>
      </c>
    </row>
    <row r="243" spans="1:5" x14ac:dyDescent="0.25">
      <c r="A243" s="179">
        <v>2026</v>
      </c>
      <c r="B243" s="180" t="s">
        <v>263</v>
      </c>
      <c r="C243" s="181" t="s">
        <v>263</v>
      </c>
      <c r="D243" s="180" t="s">
        <v>604</v>
      </c>
      <c r="E243" s="182">
        <v>1660</v>
      </c>
    </row>
    <row r="244" spans="1:5" x14ac:dyDescent="0.25">
      <c r="A244" s="179">
        <v>2026</v>
      </c>
      <c r="B244" s="180" t="s">
        <v>264</v>
      </c>
      <c r="C244" s="181" t="s">
        <v>264</v>
      </c>
      <c r="D244" s="180" t="s">
        <v>605</v>
      </c>
      <c r="E244" s="182">
        <v>105</v>
      </c>
    </row>
    <row r="245" spans="1:5" x14ac:dyDescent="0.25">
      <c r="A245" s="179">
        <v>2026</v>
      </c>
      <c r="B245" s="180" t="s">
        <v>265</v>
      </c>
      <c r="C245" s="181" t="s">
        <v>265</v>
      </c>
      <c r="D245" s="180" t="s">
        <v>606</v>
      </c>
      <c r="E245" s="182">
        <v>796</v>
      </c>
    </row>
    <row r="246" spans="1:5" x14ac:dyDescent="0.25">
      <c r="A246" s="179">
        <v>2026</v>
      </c>
      <c r="B246" s="180" t="s">
        <v>267</v>
      </c>
      <c r="C246" s="181" t="s">
        <v>267</v>
      </c>
      <c r="D246" s="180" t="s">
        <v>608</v>
      </c>
      <c r="E246" s="182">
        <v>710</v>
      </c>
    </row>
    <row r="247" spans="1:5" x14ac:dyDescent="0.25">
      <c r="A247" s="179">
        <v>2026</v>
      </c>
      <c r="B247" s="180" t="s">
        <v>268</v>
      </c>
      <c r="C247" s="181" t="s">
        <v>268</v>
      </c>
      <c r="D247" s="180" t="s">
        <v>609</v>
      </c>
      <c r="E247" s="182">
        <v>1006</v>
      </c>
    </row>
    <row r="248" spans="1:5" x14ac:dyDescent="0.25">
      <c r="A248" s="179">
        <v>2026</v>
      </c>
      <c r="B248" s="180" t="s">
        <v>269</v>
      </c>
      <c r="C248" s="181" t="s">
        <v>269</v>
      </c>
      <c r="D248" s="180" t="s">
        <v>610</v>
      </c>
      <c r="E248" s="182">
        <v>658</v>
      </c>
    </row>
    <row r="249" spans="1:5" x14ac:dyDescent="0.25">
      <c r="A249" s="179">
        <v>2026</v>
      </c>
      <c r="B249" s="180" t="s">
        <v>270</v>
      </c>
      <c r="C249" s="181" t="s">
        <v>270</v>
      </c>
      <c r="D249" s="180" t="s">
        <v>611</v>
      </c>
      <c r="E249" s="182">
        <v>3052</v>
      </c>
    </row>
    <row r="250" spans="1:5" x14ac:dyDescent="0.25">
      <c r="A250" s="179">
        <v>2026</v>
      </c>
      <c r="B250" s="180" t="s">
        <v>271</v>
      </c>
      <c r="C250" s="181" t="s">
        <v>271</v>
      </c>
      <c r="D250" s="180" t="s">
        <v>612</v>
      </c>
      <c r="E250" s="182">
        <v>395</v>
      </c>
    </row>
    <row r="251" spans="1:5" x14ac:dyDescent="0.25">
      <c r="A251" s="179">
        <v>2026</v>
      </c>
      <c r="B251" s="180" t="s">
        <v>273</v>
      </c>
      <c r="C251" s="181" t="s">
        <v>273</v>
      </c>
      <c r="D251" s="180" t="s">
        <v>614</v>
      </c>
      <c r="E251" s="182">
        <v>2398</v>
      </c>
    </row>
    <row r="252" spans="1:5" x14ac:dyDescent="0.25">
      <c r="A252" s="179">
        <v>2026</v>
      </c>
      <c r="B252" s="180" t="s">
        <v>274</v>
      </c>
      <c r="C252" s="181" t="s">
        <v>274</v>
      </c>
      <c r="D252" s="180" t="s">
        <v>615</v>
      </c>
      <c r="E252" s="182">
        <v>1289</v>
      </c>
    </row>
    <row r="253" spans="1:5" x14ac:dyDescent="0.25">
      <c r="A253" s="179">
        <v>2026</v>
      </c>
      <c r="B253" s="180" t="s">
        <v>275</v>
      </c>
      <c r="C253" s="181" t="s">
        <v>275</v>
      </c>
      <c r="D253" s="180" t="s">
        <v>616</v>
      </c>
      <c r="E253" s="182">
        <v>893</v>
      </c>
    </row>
    <row r="254" spans="1:5" x14ac:dyDescent="0.25">
      <c r="A254" s="179">
        <v>2026</v>
      </c>
      <c r="B254" s="180" t="s">
        <v>276</v>
      </c>
      <c r="C254" s="181" t="s">
        <v>276</v>
      </c>
      <c r="D254" s="180" t="s">
        <v>617</v>
      </c>
      <c r="E254" s="182">
        <v>490</v>
      </c>
    </row>
    <row r="255" spans="1:5" x14ac:dyDescent="0.25">
      <c r="A255" s="179">
        <v>2026</v>
      </c>
      <c r="B255" s="180" t="s">
        <v>277</v>
      </c>
      <c r="C255" s="181" t="s">
        <v>277</v>
      </c>
      <c r="D255" s="180" t="s">
        <v>618</v>
      </c>
      <c r="E255" s="182">
        <v>379</v>
      </c>
    </row>
    <row r="256" spans="1:5" x14ac:dyDescent="0.25">
      <c r="A256" s="179">
        <v>2026</v>
      </c>
      <c r="B256" s="180" t="s">
        <v>278</v>
      </c>
      <c r="C256" s="181" t="s">
        <v>278</v>
      </c>
      <c r="D256" s="180" t="s">
        <v>619</v>
      </c>
      <c r="E256" s="182">
        <v>858</v>
      </c>
    </row>
    <row r="257" spans="1:5" x14ac:dyDescent="0.25">
      <c r="A257" s="179">
        <v>2026</v>
      </c>
      <c r="B257" s="180" t="s">
        <v>280</v>
      </c>
      <c r="C257" s="181" t="s">
        <v>690</v>
      </c>
      <c r="D257" s="180" t="s">
        <v>621</v>
      </c>
      <c r="E257" s="182">
        <v>211</v>
      </c>
    </row>
    <row r="258" spans="1:5" x14ac:dyDescent="0.25">
      <c r="A258" s="179">
        <v>2026</v>
      </c>
      <c r="B258" s="180" t="s">
        <v>279</v>
      </c>
      <c r="C258" s="181" t="s">
        <v>279</v>
      </c>
      <c r="D258" s="180" t="s">
        <v>620</v>
      </c>
      <c r="E258" s="182">
        <v>13573</v>
      </c>
    </row>
    <row r="259" spans="1:5" x14ac:dyDescent="0.25">
      <c r="A259" s="179">
        <v>2026</v>
      </c>
      <c r="B259" s="180" t="s">
        <v>282</v>
      </c>
      <c r="C259" s="181" t="s">
        <v>282</v>
      </c>
      <c r="D259" s="180" t="s">
        <v>623</v>
      </c>
      <c r="E259" s="182">
        <v>877</v>
      </c>
    </row>
    <row r="260" spans="1:5" x14ac:dyDescent="0.25">
      <c r="A260" s="179">
        <v>2026</v>
      </c>
      <c r="B260" s="180" t="s">
        <v>281</v>
      </c>
      <c r="C260" s="181" t="s">
        <v>281</v>
      </c>
      <c r="D260" s="180" t="s">
        <v>622</v>
      </c>
      <c r="E260" s="182">
        <v>2110</v>
      </c>
    </row>
    <row r="261" spans="1:5" x14ac:dyDescent="0.25">
      <c r="A261" s="179">
        <v>2026</v>
      </c>
      <c r="B261" s="180" t="s">
        <v>284</v>
      </c>
      <c r="C261" s="181" t="s">
        <v>284</v>
      </c>
      <c r="D261" s="180" t="s">
        <v>625</v>
      </c>
      <c r="E261" s="182">
        <v>937</v>
      </c>
    </row>
    <row r="262" spans="1:5" x14ac:dyDescent="0.25">
      <c r="A262" s="179">
        <v>2026</v>
      </c>
      <c r="B262" s="180" t="s">
        <v>249</v>
      </c>
      <c r="C262" s="181" t="s">
        <v>688</v>
      </c>
      <c r="D262" s="180" t="s">
        <v>592</v>
      </c>
      <c r="E262" s="182">
        <v>165</v>
      </c>
    </row>
    <row r="263" spans="1:5" x14ac:dyDescent="0.25">
      <c r="A263" s="179">
        <v>2026</v>
      </c>
      <c r="B263" s="180" t="s">
        <v>286</v>
      </c>
      <c r="C263" s="181" t="s">
        <v>286</v>
      </c>
      <c r="D263" s="180" t="s">
        <v>626</v>
      </c>
      <c r="E263" s="182">
        <v>398</v>
      </c>
    </row>
    <row r="264" spans="1:5" x14ac:dyDescent="0.25">
      <c r="A264" s="179">
        <v>2026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2026</v>
      </c>
      <c r="B265" s="180" t="s">
        <v>288</v>
      </c>
      <c r="C265" s="181" t="s">
        <v>288</v>
      </c>
      <c r="D265" s="180" t="s">
        <v>628</v>
      </c>
      <c r="E265" s="182">
        <v>1700</v>
      </c>
    </row>
    <row r="266" spans="1:5" x14ac:dyDescent="0.25">
      <c r="A266" s="179">
        <v>2026</v>
      </c>
      <c r="B266" s="180" t="s">
        <v>289</v>
      </c>
      <c r="C266" s="181" t="s">
        <v>289</v>
      </c>
      <c r="D266" s="180" t="s">
        <v>629</v>
      </c>
      <c r="E266" s="182">
        <v>11528</v>
      </c>
    </row>
    <row r="267" spans="1:5" x14ac:dyDescent="0.25">
      <c r="A267" s="179">
        <v>2026</v>
      </c>
      <c r="B267" s="180" t="s">
        <v>283</v>
      </c>
      <c r="C267" s="181" t="s">
        <v>283</v>
      </c>
      <c r="D267" s="180" t="s">
        <v>624</v>
      </c>
      <c r="E267" s="182">
        <v>874</v>
      </c>
    </row>
    <row r="268" spans="1:5" x14ac:dyDescent="0.25">
      <c r="A268" s="179">
        <v>2026</v>
      </c>
      <c r="B268" s="180" t="s">
        <v>285</v>
      </c>
      <c r="C268" s="181" t="s">
        <v>285</v>
      </c>
      <c r="D268" s="180" t="s">
        <v>820</v>
      </c>
      <c r="E268" s="182">
        <v>1616</v>
      </c>
    </row>
    <row r="269" spans="1:5" x14ac:dyDescent="0.25">
      <c r="A269" s="179">
        <v>2026</v>
      </c>
      <c r="B269" s="180" t="s">
        <v>290</v>
      </c>
      <c r="C269" s="181" t="s">
        <v>290</v>
      </c>
      <c r="D269" s="180" t="s">
        <v>630</v>
      </c>
      <c r="E269" s="182">
        <v>1479</v>
      </c>
    </row>
    <row r="270" spans="1:5" x14ac:dyDescent="0.25">
      <c r="A270" s="179">
        <v>2026</v>
      </c>
      <c r="B270" s="180" t="s">
        <v>291</v>
      </c>
      <c r="C270" s="181" t="s">
        <v>291</v>
      </c>
      <c r="D270" s="180" t="s">
        <v>631</v>
      </c>
      <c r="E270" s="182">
        <v>2670</v>
      </c>
    </row>
    <row r="271" spans="1:5" x14ac:dyDescent="0.25">
      <c r="A271" s="179">
        <v>2026</v>
      </c>
      <c r="B271" s="180" t="s">
        <v>292</v>
      </c>
      <c r="C271" s="181" t="s">
        <v>292</v>
      </c>
      <c r="D271" s="180" t="s">
        <v>632</v>
      </c>
      <c r="E271" s="182">
        <v>728</v>
      </c>
    </row>
    <row r="272" spans="1:5" x14ac:dyDescent="0.25">
      <c r="A272" s="179">
        <v>2026</v>
      </c>
      <c r="B272" s="180" t="s">
        <v>266</v>
      </c>
      <c r="C272" s="181" t="s">
        <v>266</v>
      </c>
      <c r="D272" s="180" t="s">
        <v>607</v>
      </c>
      <c r="E272" s="182">
        <v>910</v>
      </c>
    </row>
    <row r="273" spans="1:5" x14ac:dyDescent="0.25">
      <c r="A273" s="179">
        <v>2026</v>
      </c>
      <c r="B273" s="180" t="s">
        <v>293</v>
      </c>
      <c r="C273" s="181" t="s">
        <v>293</v>
      </c>
      <c r="D273" s="180" t="s">
        <v>633</v>
      </c>
      <c r="E273" s="182">
        <v>710</v>
      </c>
    </row>
    <row r="274" spans="1:5" x14ac:dyDescent="0.25">
      <c r="A274" s="179">
        <v>2026</v>
      </c>
      <c r="B274" s="180" t="s">
        <v>294</v>
      </c>
      <c r="C274" s="181" t="s">
        <v>294</v>
      </c>
      <c r="D274" s="180" t="s">
        <v>634</v>
      </c>
      <c r="E274" s="182">
        <v>509</v>
      </c>
    </row>
    <row r="275" spans="1:5" x14ac:dyDescent="0.25">
      <c r="A275" s="179">
        <v>2026</v>
      </c>
      <c r="B275" s="180" t="s">
        <v>295</v>
      </c>
      <c r="C275" s="181" t="s">
        <v>295</v>
      </c>
      <c r="D275" s="180" t="s">
        <v>635</v>
      </c>
      <c r="E275" s="182">
        <v>5574</v>
      </c>
    </row>
    <row r="276" spans="1:5" x14ac:dyDescent="0.25">
      <c r="A276" s="179">
        <v>2026</v>
      </c>
      <c r="B276" s="180" t="s">
        <v>296</v>
      </c>
      <c r="C276" s="181" t="s">
        <v>296</v>
      </c>
      <c r="D276" s="180" t="s">
        <v>636</v>
      </c>
      <c r="E276" s="182">
        <v>559</v>
      </c>
    </row>
    <row r="277" spans="1:5" x14ac:dyDescent="0.25">
      <c r="A277" s="179">
        <v>2026</v>
      </c>
      <c r="B277" s="180" t="s">
        <v>298</v>
      </c>
      <c r="C277" s="181" t="s">
        <v>298</v>
      </c>
      <c r="D277" s="180" t="s">
        <v>638</v>
      </c>
      <c r="E277" s="182">
        <v>1008</v>
      </c>
    </row>
    <row r="278" spans="1:5" x14ac:dyDescent="0.25">
      <c r="A278" s="179">
        <v>2026</v>
      </c>
      <c r="B278" s="180" t="s">
        <v>299</v>
      </c>
      <c r="C278" s="181" t="s">
        <v>299</v>
      </c>
      <c r="D278" s="180" t="s">
        <v>639</v>
      </c>
      <c r="E278" s="182">
        <v>955</v>
      </c>
    </row>
    <row r="279" spans="1:5" x14ac:dyDescent="0.25">
      <c r="A279" s="179">
        <v>2026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2026</v>
      </c>
      <c r="B280" s="180" t="s">
        <v>301</v>
      </c>
      <c r="C280" s="181" t="s">
        <v>301</v>
      </c>
      <c r="D280" s="180" t="s">
        <v>641</v>
      </c>
      <c r="E280" s="182">
        <v>111</v>
      </c>
    </row>
    <row r="281" spans="1:5" x14ac:dyDescent="0.25">
      <c r="A281" s="179">
        <v>2026</v>
      </c>
      <c r="B281" s="180" t="s">
        <v>302</v>
      </c>
      <c r="C281" s="181" t="s">
        <v>302</v>
      </c>
      <c r="D281" s="180" t="s">
        <v>642</v>
      </c>
      <c r="E281" s="182">
        <v>776</v>
      </c>
    </row>
    <row r="282" spans="1:5" x14ac:dyDescent="0.25">
      <c r="A282" s="179">
        <v>2026</v>
      </c>
      <c r="B282" s="180" t="s">
        <v>303</v>
      </c>
      <c r="C282" s="181" t="s">
        <v>303</v>
      </c>
      <c r="D282" s="180" t="s">
        <v>643</v>
      </c>
      <c r="E282" s="182">
        <v>626</v>
      </c>
    </row>
    <row r="283" spans="1:5" x14ac:dyDescent="0.25">
      <c r="A283" s="179">
        <v>2026</v>
      </c>
      <c r="B283" s="180" t="s">
        <v>304</v>
      </c>
      <c r="C283" s="181" t="s">
        <v>304</v>
      </c>
      <c r="D283" s="180" t="s">
        <v>644</v>
      </c>
      <c r="E283" s="182">
        <v>453</v>
      </c>
    </row>
    <row r="284" spans="1:5" x14ac:dyDescent="0.25">
      <c r="A284" s="179">
        <v>2026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2026</v>
      </c>
      <c r="B285" s="180" t="s">
        <v>306</v>
      </c>
      <c r="C285" s="181" t="s">
        <v>306</v>
      </c>
      <c r="D285" s="180" t="s">
        <v>646</v>
      </c>
      <c r="E285" s="182">
        <v>530</v>
      </c>
    </row>
    <row r="286" spans="1:5" x14ac:dyDescent="0.25">
      <c r="A286" s="179">
        <v>2026</v>
      </c>
      <c r="B286" s="180" t="s">
        <v>307</v>
      </c>
      <c r="C286" s="181" t="s">
        <v>307</v>
      </c>
      <c r="D286" s="180" t="s">
        <v>647</v>
      </c>
      <c r="E286" s="182">
        <v>705</v>
      </c>
    </row>
    <row r="287" spans="1:5" x14ac:dyDescent="0.25">
      <c r="A287" s="179">
        <v>2026</v>
      </c>
      <c r="B287" s="180" t="s">
        <v>111</v>
      </c>
      <c r="C287" s="181" t="s">
        <v>685</v>
      </c>
      <c r="D287" s="180" t="s">
        <v>460</v>
      </c>
      <c r="E287" s="182">
        <v>424</v>
      </c>
    </row>
    <row r="288" spans="1:5" x14ac:dyDescent="0.25">
      <c r="A288" s="179">
        <v>2026</v>
      </c>
      <c r="B288" s="180" t="s">
        <v>308</v>
      </c>
      <c r="C288" s="181" t="s">
        <v>308</v>
      </c>
      <c r="D288" s="180" t="s">
        <v>648</v>
      </c>
      <c r="E288" s="182">
        <v>427</v>
      </c>
    </row>
    <row r="289" spans="1:5" x14ac:dyDescent="0.25">
      <c r="A289" s="179">
        <v>2026</v>
      </c>
      <c r="B289" s="180" t="s">
        <v>309</v>
      </c>
      <c r="C289" s="181" t="s">
        <v>309</v>
      </c>
      <c r="D289" s="180" t="s">
        <v>649</v>
      </c>
      <c r="E289" s="182">
        <v>3083</v>
      </c>
    </row>
    <row r="290" spans="1:5" x14ac:dyDescent="0.25">
      <c r="A290" s="179">
        <v>2026</v>
      </c>
      <c r="B290" s="180" t="s">
        <v>310</v>
      </c>
      <c r="C290" s="181" t="s">
        <v>310</v>
      </c>
      <c r="D290" s="180" t="s">
        <v>792</v>
      </c>
      <c r="E290" s="182">
        <v>1190</v>
      </c>
    </row>
    <row r="291" spans="1:5" x14ac:dyDescent="0.25">
      <c r="A291" s="179">
        <v>2026</v>
      </c>
      <c r="B291" s="180" t="s">
        <v>311</v>
      </c>
      <c r="C291" s="181" t="s">
        <v>311</v>
      </c>
      <c r="D291" s="180" t="s">
        <v>650</v>
      </c>
      <c r="E291" s="182">
        <v>1196</v>
      </c>
    </row>
    <row r="292" spans="1:5" x14ac:dyDescent="0.25">
      <c r="A292" s="179">
        <v>2026</v>
      </c>
      <c r="B292" s="180" t="s">
        <v>312</v>
      </c>
      <c r="C292" s="181" t="s">
        <v>312</v>
      </c>
      <c r="D292" s="180" t="s">
        <v>651</v>
      </c>
      <c r="E292" s="182">
        <v>724</v>
      </c>
    </row>
    <row r="293" spans="1:5" x14ac:dyDescent="0.25">
      <c r="A293" s="179">
        <v>2026</v>
      </c>
      <c r="B293" s="180" t="s">
        <v>313</v>
      </c>
      <c r="C293" s="181" t="s">
        <v>313</v>
      </c>
      <c r="D293" s="180" t="s">
        <v>652</v>
      </c>
      <c r="E293" s="182">
        <v>3557</v>
      </c>
    </row>
    <row r="294" spans="1:5" x14ac:dyDescent="0.25">
      <c r="A294" s="179">
        <v>2026</v>
      </c>
      <c r="B294" s="180" t="s">
        <v>314</v>
      </c>
      <c r="C294" s="181" t="s">
        <v>314</v>
      </c>
      <c r="D294" s="180" t="s">
        <v>653</v>
      </c>
      <c r="E294" s="182">
        <v>507</v>
      </c>
    </row>
    <row r="295" spans="1:5" x14ac:dyDescent="0.25">
      <c r="A295" s="179">
        <v>2026</v>
      </c>
      <c r="B295" s="180" t="s">
        <v>316</v>
      </c>
      <c r="C295" s="181" t="s">
        <v>316</v>
      </c>
      <c r="D295" s="180" t="s">
        <v>655</v>
      </c>
      <c r="E295" s="182">
        <v>819</v>
      </c>
    </row>
    <row r="296" spans="1:5" x14ac:dyDescent="0.25">
      <c r="A296" s="179">
        <v>2026</v>
      </c>
      <c r="B296" s="180" t="s">
        <v>317</v>
      </c>
      <c r="C296" s="181" t="s">
        <v>317</v>
      </c>
      <c r="D296" s="180" t="s">
        <v>656</v>
      </c>
      <c r="E296" s="182">
        <v>815</v>
      </c>
    </row>
    <row r="297" spans="1:5" x14ac:dyDescent="0.25">
      <c r="A297" s="179">
        <v>2026</v>
      </c>
      <c r="B297" s="180" t="s">
        <v>318</v>
      </c>
      <c r="C297" s="181" t="s">
        <v>318</v>
      </c>
      <c r="D297" s="180" t="s">
        <v>657</v>
      </c>
      <c r="E297" s="182">
        <v>2933</v>
      </c>
    </row>
    <row r="298" spans="1:5" x14ac:dyDescent="0.25">
      <c r="A298" s="179">
        <v>2026</v>
      </c>
      <c r="B298" s="180" t="s">
        <v>319</v>
      </c>
      <c r="C298" s="181" t="s">
        <v>319</v>
      </c>
      <c r="D298" s="180" t="s">
        <v>658</v>
      </c>
      <c r="E298" s="182">
        <v>23271</v>
      </c>
    </row>
    <row r="299" spans="1:5" x14ac:dyDescent="0.25">
      <c r="A299" s="179">
        <v>2026</v>
      </c>
      <c r="B299" s="180" t="s">
        <v>320</v>
      </c>
      <c r="C299" s="181" t="s">
        <v>320</v>
      </c>
      <c r="D299" s="180" t="s">
        <v>659</v>
      </c>
      <c r="E299" s="182">
        <v>24875</v>
      </c>
    </row>
    <row r="300" spans="1:5" x14ac:dyDescent="0.25">
      <c r="A300" s="179">
        <v>2026</v>
      </c>
      <c r="B300" s="180" t="s">
        <v>321</v>
      </c>
      <c r="C300" s="181" t="s">
        <v>321</v>
      </c>
      <c r="D300" s="180" t="s">
        <v>660</v>
      </c>
      <c r="E300" s="182">
        <v>3012</v>
      </c>
    </row>
    <row r="301" spans="1:5" x14ac:dyDescent="0.25">
      <c r="A301" s="179">
        <v>2026</v>
      </c>
      <c r="B301" s="180" t="s">
        <v>322</v>
      </c>
      <c r="C301" s="181" t="s">
        <v>322</v>
      </c>
      <c r="D301" s="180" t="s">
        <v>661</v>
      </c>
      <c r="E301" s="182">
        <v>299</v>
      </c>
    </row>
    <row r="302" spans="1:5" x14ac:dyDescent="0.25">
      <c r="A302" s="179">
        <v>2026</v>
      </c>
      <c r="B302" s="180" t="s">
        <v>323</v>
      </c>
      <c r="C302" s="181" t="s">
        <v>323</v>
      </c>
      <c r="D302" s="180" t="s">
        <v>662</v>
      </c>
      <c r="E302" s="182">
        <v>3987</v>
      </c>
    </row>
    <row r="303" spans="1:5" x14ac:dyDescent="0.25">
      <c r="A303" s="179">
        <v>2026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2026</v>
      </c>
      <c r="B304" s="180" t="s">
        <v>325</v>
      </c>
      <c r="C304" s="181" t="s">
        <v>325</v>
      </c>
      <c r="D304" s="180" t="s">
        <v>664</v>
      </c>
      <c r="E304" s="182">
        <v>2107</v>
      </c>
    </row>
    <row r="305" spans="1:5" x14ac:dyDescent="0.25">
      <c r="A305" s="179">
        <v>2026</v>
      </c>
      <c r="B305" s="180" t="s">
        <v>326</v>
      </c>
      <c r="C305" s="181" t="s">
        <v>326</v>
      </c>
      <c r="D305" s="180" t="s">
        <v>665</v>
      </c>
      <c r="E305" s="182">
        <v>274</v>
      </c>
    </row>
    <row r="306" spans="1:5" x14ac:dyDescent="0.25">
      <c r="A306" s="179">
        <v>2026</v>
      </c>
      <c r="B306" s="180" t="s">
        <v>327</v>
      </c>
      <c r="C306" s="181" t="s">
        <v>327</v>
      </c>
      <c r="D306" s="180" t="s">
        <v>666</v>
      </c>
      <c r="E306" s="182">
        <v>721</v>
      </c>
    </row>
    <row r="307" spans="1:5" x14ac:dyDescent="0.25">
      <c r="A307" s="179">
        <v>2026</v>
      </c>
      <c r="B307" s="180" t="s">
        <v>297</v>
      </c>
      <c r="C307" s="181" t="s">
        <v>297</v>
      </c>
      <c r="D307" s="180" t="s">
        <v>637</v>
      </c>
      <c r="E307" s="182">
        <v>1484</v>
      </c>
    </row>
    <row r="308" spans="1:5" x14ac:dyDescent="0.25">
      <c r="A308" s="179">
        <v>2026</v>
      </c>
      <c r="B308" s="180" t="s">
        <v>328</v>
      </c>
      <c r="C308" s="181" t="s">
        <v>328</v>
      </c>
      <c r="D308" s="180" t="s">
        <v>667</v>
      </c>
      <c r="E308" s="182">
        <v>666</v>
      </c>
    </row>
    <row r="309" spans="1:5" x14ac:dyDescent="0.25">
      <c r="A309" s="179">
        <v>2026</v>
      </c>
      <c r="B309" s="180" t="s">
        <v>329</v>
      </c>
      <c r="C309" s="181" t="s">
        <v>329</v>
      </c>
      <c r="D309" s="180" t="s">
        <v>668</v>
      </c>
      <c r="E309" s="182">
        <v>11608</v>
      </c>
    </row>
    <row r="310" spans="1:5" x14ac:dyDescent="0.25">
      <c r="A310" s="179">
        <v>2026</v>
      </c>
      <c r="B310" s="180" t="s">
        <v>272</v>
      </c>
      <c r="C310" s="181" t="s">
        <v>272</v>
      </c>
      <c r="D310" s="180" t="s">
        <v>613</v>
      </c>
      <c r="E310" s="182">
        <v>2205</v>
      </c>
    </row>
    <row r="311" spans="1:5" x14ac:dyDescent="0.25">
      <c r="A311" s="179">
        <v>2026</v>
      </c>
      <c r="B311" s="180" t="s">
        <v>54</v>
      </c>
      <c r="C311" s="181" t="s">
        <v>54</v>
      </c>
      <c r="D311" s="180" t="s">
        <v>405</v>
      </c>
      <c r="E311" s="182">
        <v>200</v>
      </c>
    </row>
    <row r="312" spans="1:5" x14ac:dyDescent="0.25">
      <c r="A312" s="179">
        <v>2026</v>
      </c>
      <c r="B312" s="180" t="s">
        <v>331</v>
      </c>
      <c r="C312" s="181" t="s">
        <v>331</v>
      </c>
      <c r="D312" s="180" t="s">
        <v>670</v>
      </c>
      <c r="E312" s="182">
        <v>565</v>
      </c>
    </row>
    <row r="313" spans="1:5" x14ac:dyDescent="0.25">
      <c r="A313" s="179">
        <v>2026</v>
      </c>
      <c r="B313" s="180" t="s">
        <v>332</v>
      </c>
      <c r="C313" s="181" t="s">
        <v>332</v>
      </c>
      <c r="D313" s="180" t="s">
        <v>671</v>
      </c>
      <c r="E313" s="182">
        <v>1672</v>
      </c>
    </row>
    <row r="314" spans="1:5" x14ac:dyDescent="0.25">
      <c r="A314" s="179">
        <v>2026</v>
      </c>
      <c r="B314" s="180" t="s">
        <v>333</v>
      </c>
      <c r="C314" s="181" t="s">
        <v>333</v>
      </c>
      <c r="D314" s="180" t="s">
        <v>672</v>
      </c>
      <c r="E314" s="182">
        <v>550</v>
      </c>
    </row>
    <row r="315" spans="1:5" x14ac:dyDescent="0.25">
      <c r="A315" s="179">
        <v>2026</v>
      </c>
      <c r="B315" s="180" t="s">
        <v>334</v>
      </c>
      <c r="C315" s="181" t="s">
        <v>334</v>
      </c>
      <c r="D315" s="180" t="s">
        <v>673</v>
      </c>
      <c r="E315" s="182">
        <v>1299</v>
      </c>
    </row>
    <row r="316" spans="1:5" x14ac:dyDescent="0.25">
      <c r="A316" s="179">
        <v>2026</v>
      </c>
      <c r="B316" s="180" t="s">
        <v>335</v>
      </c>
      <c r="C316" s="181" t="s">
        <v>335</v>
      </c>
      <c r="D316" s="180" t="s">
        <v>674</v>
      </c>
      <c r="E316" s="182">
        <v>375</v>
      </c>
    </row>
    <row r="317" spans="1:5" x14ac:dyDescent="0.25">
      <c r="A317" s="179">
        <v>2026</v>
      </c>
      <c r="B317" s="180" t="s">
        <v>336</v>
      </c>
      <c r="C317" s="181" t="s">
        <v>336</v>
      </c>
      <c r="D317" s="180" t="s">
        <v>675</v>
      </c>
      <c r="E317" s="182">
        <v>2496</v>
      </c>
    </row>
    <row r="318" spans="1:5" x14ac:dyDescent="0.25">
      <c r="A318" s="179">
        <v>2026</v>
      </c>
      <c r="B318" s="180" t="s">
        <v>330</v>
      </c>
      <c r="C318" s="181" t="s">
        <v>330</v>
      </c>
      <c r="D318" s="180" t="s">
        <v>669</v>
      </c>
      <c r="E318" s="182">
        <v>4159</v>
      </c>
    </row>
    <row r="319" spans="1:5" x14ac:dyDescent="0.25">
      <c r="A319" s="179">
        <v>2026</v>
      </c>
      <c r="B319" s="180" t="s">
        <v>337</v>
      </c>
      <c r="C319" s="181" t="s">
        <v>337</v>
      </c>
      <c r="D319" s="180" t="s">
        <v>676</v>
      </c>
      <c r="E319" s="182">
        <v>505</v>
      </c>
    </row>
    <row r="320" spans="1:5" x14ac:dyDescent="0.25">
      <c r="A320" s="179">
        <v>2026</v>
      </c>
      <c r="B320" s="180" t="s">
        <v>338</v>
      </c>
      <c r="C320" s="181" t="s">
        <v>338</v>
      </c>
      <c r="D320" s="180" t="s">
        <v>677</v>
      </c>
      <c r="E320" s="182">
        <v>148</v>
      </c>
    </row>
    <row r="321" spans="1:5" x14ac:dyDescent="0.25">
      <c r="A321" s="179">
        <v>2026</v>
      </c>
      <c r="B321" s="180" t="s">
        <v>339</v>
      </c>
      <c r="C321" s="181" t="s">
        <v>339</v>
      </c>
      <c r="D321" s="180" t="s">
        <v>678</v>
      </c>
      <c r="E321" s="182">
        <v>1584</v>
      </c>
    </row>
    <row r="322" spans="1:5" x14ac:dyDescent="0.25">
      <c r="A322" s="179">
        <v>2026</v>
      </c>
      <c r="B322" s="180" t="s">
        <v>340</v>
      </c>
      <c r="C322" s="181" t="s">
        <v>340</v>
      </c>
      <c r="D322" s="180" t="s">
        <v>679</v>
      </c>
      <c r="E322" s="182">
        <v>260</v>
      </c>
    </row>
    <row r="323" spans="1:5" x14ac:dyDescent="0.25">
      <c r="A323" s="179">
        <v>2026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2026</v>
      </c>
      <c r="B324" s="180" t="s">
        <v>342</v>
      </c>
      <c r="C324" s="181" t="s">
        <v>342</v>
      </c>
      <c r="D324" s="180" t="s">
        <v>681</v>
      </c>
      <c r="E324" s="182">
        <v>1846</v>
      </c>
    </row>
    <row r="325" spans="1:5" x14ac:dyDescent="0.25">
      <c r="A325" s="179">
        <v>2026</v>
      </c>
      <c r="B325" s="180" t="s">
        <v>343</v>
      </c>
      <c r="C325" s="181" t="s">
        <v>343</v>
      </c>
      <c r="D325" s="180" t="s">
        <v>682</v>
      </c>
      <c r="E325" s="182">
        <v>12</v>
      </c>
    </row>
    <row r="326" spans="1:5" x14ac:dyDescent="0.25">
      <c r="A326" s="179">
        <v>2026</v>
      </c>
      <c r="B326" s="180" t="s">
        <v>344</v>
      </c>
      <c r="C326" s="181" t="s">
        <v>344</v>
      </c>
      <c r="D326" s="180" t="s">
        <v>683</v>
      </c>
      <c r="E326" s="182">
        <v>768</v>
      </c>
    </row>
    <row r="327" spans="1:5" x14ac:dyDescent="0.25">
      <c r="A327" s="179">
        <v>2026</v>
      </c>
      <c r="B327" s="180" t="s">
        <v>345</v>
      </c>
      <c r="C327" s="181" t="s">
        <v>345</v>
      </c>
      <c r="D327" s="180" t="s">
        <v>684</v>
      </c>
      <c r="E327" s="182">
        <v>1729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718520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activeCell="H320" sqref="H320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83" t="str">
        <f>CONCATENATE("FY ",Notes!B1," Budget for State Payment to School Districts (Budget by Source)")</f>
        <v>FY 2026 Budget for State Payment to School Districts (Budget by Source)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3 State Foundation Aid (Code 3111)</v>
      </c>
      <c r="K4" s="17" t="str">
        <f>Notes!B3</f>
        <v>Pay 3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3175031</v>
      </c>
      <c r="K6" s="221">
        <f>INDEX(Data[],MATCH($A6,Data[Dist],0),MATCH(K$4,Data[#Headers],0))</f>
        <v>4584943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1577268</v>
      </c>
      <c r="K7" s="221">
        <f>INDEX(Data[],MATCH($A7,Data[Dist],0),MATCH(K$4,Data[#Headers],0))</f>
        <v>2302308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13926173</v>
      </c>
      <c r="K8" s="221">
        <f>INDEX(Data[],MATCH($A8,Data[Dist],0),MATCH(K$4,Data[#Headers],0))</f>
        <v>17672555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3141582</v>
      </c>
      <c r="K9" s="221">
        <f>INDEX(Data[],MATCH($A9,Data[Dist],0),MATCH(K$4,Data[#Headers],0))</f>
        <v>4220419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803311</v>
      </c>
      <c r="K10" s="221">
        <f>INDEX(Data[],MATCH($A10,Data[Dist],0),MATCH(K$4,Data[#Headers],0))</f>
        <v>1264156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7229178</v>
      </c>
      <c r="K11" s="221">
        <f>INDEX(Data[],MATCH($A11,Data[Dist],0),MATCH(K$4,Data[#Headers],0))</f>
        <v>9229503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2863414</v>
      </c>
      <c r="K12" s="221">
        <f>INDEX(Data[],MATCH($A12,Data[Dist],0),MATCH(K$4,Data[#Headers],0))</f>
        <v>4081545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1215740</v>
      </c>
      <c r="K13" s="221">
        <f>INDEX(Data[],MATCH($A13,Data[Dist],0),MATCH(K$4,Data[#Headers],0))</f>
        <v>1835916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6751162</v>
      </c>
      <c r="K14" s="221">
        <f>INDEX(Data[],MATCH($A14,Data[Dist],0),MATCH(K$4,Data[#Headers],0))</f>
        <v>9819698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6147280</v>
      </c>
      <c r="K15" s="221">
        <f>INDEX(Data[],MATCH($A15,Data[Dist],0),MATCH(K$4,Data[#Headers],0))</f>
        <v>8533644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2913048</v>
      </c>
      <c r="K16" s="221">
        <f>INDEX(Data[],MATCH($A16,Data[Dist],0),MATCH(K$4,Data[#Headers],0))</f>
        <v>4030879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4176436</v>
      </c>
      <c r="K17" s="221">
        <f>INDEX(Data[],MATCH($A17,Data[Dist],0),MATCH(K$4,Data[#Headers],0))</f>
        <v>5998435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20608799</v>
      </c>
      <c r="K18" s="221">
        <f>INDEX(Data[],MATCH($A18,Data[Dist],0),MATCH(K$4,Data[#Headers],0))</f>
        <v>28681725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7104976</v>
      </c>
      <c r="K19" s="221">
        <f>INDEX(Data[],MATCH($A19,Data[Dist],0),MATCH(K$4,Data[#Headers],0))</f>
        <v>9614905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1244075</v>
      </c>
      <c r="K20" s="221">
        <f>INDEX(Data[],MATCH($A20,Data[Dist],0),MATCH(K$4,Data[#Headers],0))</f>
        <v>1779907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73907473</v>
      </c>
      <c r="K21" s="221">
        <f>INDEX(Data[],MATCH($A21,Data[Dist],0),MATCH(K$4,Data[#Headers],0))</f>
        <v>94856315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4965011</v>
      </c>
      <c r="K22" s="221">
        <f>INDEX(Data[],MATCH($A22,Data[Dist],0),MATCH(K$4,Data[#Headers],0))</f>
        <v>6639753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1127383</v>
      </c>
      <c r="K23" s="221">
        <f>INDEX(Data[],MATCH($A23,Data[Dist],0),MATCH(K$4,Data[#Headers],0))</f>
        <v>2036141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876193</v>
      </c>
      <c r="K24" s="221">
        <f>INDEX(Data[],MATCH($A24,Data[Dist],0),MATCH(K$4,Data[#Headers],0))</f>
        <v>1623103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9888838</v>
      </c>
      <c r="K25" s="221">
        <f>INDEX(Data[],MATCH($A25,Data[Dist],0),MATCH(K$4,Data[#Headers],0))</f>
        <v>12641580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2273168</v>
      </c>
      <c r="K26" s="221">
        <f>INDEX(Data[],MATCH($A26,Data[Dist],0),MATCH(K$4,Data[#Headers],0))</f>
        <v>3390625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3420800</v>
      </c>
      <c r="K27" s="221">
        <f>INDEX(Data[],MATCH($A27,Data[Dist],0),MATCH(K$4,Data[#Headers],0))</f>
        <v>4991118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11547059</v>
      </c>
      <c r="K28" s="221">
        <f>INDEX(Data[],MATCH($A28,Data[Dist],0),MATCH(K$4,Data[#Headers],0))</f>
        <v>14836512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2240687</v>
      </c>
      <c r="K29" s="221">
        <f>INDEX(Data[],MATCH($A29,Data[Dist],0),MATCH(K$4,Data[#Headers],0))</f>
        <v>3166238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1933113</v>
      </c>
      <c r="K30" s="221">
        <f>INDEX(Data[],MATCH($A30,Data[Dist],0),MATCH(K$4,Data[#Headers],0))</f>
        <v>2957532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2691303</v>
      </c>
      <c r="K31" s="221">
        <f>INDEX(Data[],MATCH($A31,Data[Dist],0),MATCH(K$4,Data[#Headers],0))</f>
        <v>3690388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3003840</v>
      </c>
      <c r="K32" s="221">
        <f>INDEX(Data[],MATCH($A32,Data[Dist],0),MATCH(K$4,Data[#Headers],0))</f>
        <v>4058228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2970484</v>
      </c>
      <c r="K33" s="221">
        <f>INDEX(Data[],MATCH($A33,Data[Dist],0),MATCH(K$4,Data[#Headers],0))</f>
        <v>4447578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4014278</v>
      </c>
      <c r="K34" s="221">
        <f>INDEX(Data[],MATCH($A34,Data[Dist],0),MATCH(K$4,Data[#Headers],0))</f>
        <v>5457309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807291</v>
      </c>
      <c r="K35" s="221">
        <f>INDEX(Data[],MATCH($A35,Data[Dist],0),MATCH(K$4,Data[#Headers],0))</f>
        <v>1186861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7482616</v>
      </c>
      <c r="K36" s="221">
        <f>INDEX(Data[],MATCH($A36,Data[Dist],0),MATCH(K$4,Data[#Headers],0))</f>
        <v>10324890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22167394</v>
      </c>
      <c r="K37" s="221">
        <f>INDEX(Data[],MATCH($A37,Data[Dist],0),MATCH(K$4,Data[#Headers],0))</f>
        <v>29170069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3308785</v>
      </c>
      <c r="K38" s="221">
        <f>INDEX(Data[],MATCH($A38,Data[Dist],0),MATCH(K$4,Data[#Headers],0))</f>
        <v>5262807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17289259</v>
      </c>
      <c r="K39" s="221">
        <f>INDEX(Data[],MATCH($A39,Data[Dist],0),MATCH(K$4,Data[#Headers],0))</f>
        <v>21798404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13803637</v>
      </c>
      <c r="K40" s="221">
        <f>INDEX(Data[],MATCH($A40,Data[Dist],0),MATCH(K$4,Data[#Headers],0))</f>
        <v>17480298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3069717</v>
      </c>
      <c r="K41" s="221">
        <f>INDEX(Data[],MATCH($A41,Data[Dist],0),MATCH(K$4,Data[#Headers],0))</f>
        <v>4698045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2793325</v>
      </c>
      <c r="K42" s="221">
        <f>INDEX(Data[],MATCH($A42,Data[Dist],0),MATCH(K$4,Data[#Headers],0))</f>
        <v>4041639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2815285</v>
      </c>
      <c r="K43" s="221">
        <f>INDEX(Data[],MATCH($A43,Data[Dist],0),MATCH(K$4,Data[#Headers],0))</f>
        <v>3910788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1579379</v>
      </c>
      <c r="K44" s="221">
        <f>INDEX(Data[],MATCH($A44,Data[Dist],0),MATCH(K$4,Data[#Headers],0))</f>
        <v>2641378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29986013</v>
      </c>
      <c r="K45" s="221">
        <f>INDEX(Data[],MATCH($A45,Data[Dist],0),MATCH(K$4,Data[#Headers],0))</f>
        <v>37027934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1053617</v>
      </c>
      <c r="K46" s="221">
        <f>INDEX(Data[],MATCH($A46,Data[Dist],0),MATCH(K$4,Data[#Headers],0))</f>
        <v>2197727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1535207</v>
      </c>
      <c r="K47" s="221">
        <f>INDEX(Data[],MATCH($A47,Data[Dist],0),MATCH(K$4,Data[#Headers],0))</f>
        <v>2208073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1911944</v>
      </c>
      <c r="K48" s="221">
        <f>INDEX(Data[],MATCH($A48,Data[Dist],0),MATCH(K$4,Data[#Headers],0))</f>
        <v>2837830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4726915</v>
      </c>
      <c r="K49" s="221">
        <f>INDEX(Data[],MATCH($A49,Data[Dist],0),MATCH(K$4,Data[#Headers],0))</f>
        <v>6636244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3789355</v>
      </c>
      <c r="K50" s="221">
        <f>INDEX(Data[],MATCH($A50,Data[Dist],0),MATCH(K$4,Data[#Headers],0))</f>
        <v>5431430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14029872</v>
      </c>
      <c r="K51" s="221">
        <f>INDEX(Data[],MATCH($A51,Data[Dist],0),MATCH(K$4,Data[#Headers],0))</f>
        <v>17497363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7108403</v>
      </c>
      <c r="K52" s="221">
        <f>INDEX(Data[],MATCH($A52,Data[Dist],0),MATCH(K$4,Data[#Headers],0))</f>
        <v>11162303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33480009</v>
      </c>
      <c r="K53" s="221">
        <f>INDEX(Data[],MATCH($A53,Data[Dist],0),MATCH(K$4,Data[#Headers],0))</f>
        <v>42876398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104891661</v>
      </c>
      <c r="K54" s="221">
        <f>INDEX(Data[],MATCH($A54,Data[Dist],0),MATCH(K$4,Data[#Headers],0))</f>
        <v>133959945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7101627</v>
      </c>
      <c r="K55" s="221">
        <f>INDEX(Data[],MATCH($A55,Data[Dist],0),MATCH(K$4,Data[#Headers],0))</f>
        <v>9298511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9362532</v>
      </c>
      <c r="K56" s="221">
        <f>INDEX(Data[],MATCH($A56,Data[Dist],0),MATCH(K$4,Data[#Headers],0))</f>
        <v>11783779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4685212</v>
      </c>
      <c r="K57" s="221">
        <f>INDEX(Data[],MATCH($A57,Data[Dist],0),MATCH(K$4,Data[#Headers],0))</f>
        <v>6419835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2789175</v>
      </c>
      <c r="K58" s="221">
        <f>INDEX(Data[],MATCH($A58,Data[Dist],0),MATCH(K$4,Data[#Headers],0))</f>
        <v>3785222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8785351</v>
      </c>
      <c r="K59" s="221">
        <f>INDEX(Data[],MATCH($A59,Data[Dist],0),MATCH(K$4,Data[#Headers],0))</f>
        <v>12099060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2515038</v>
      </c>
      <c r="K60" s="221">
        <f>INDEX(Data[],MATCH($A60,Data[Dist],0),MATCH(K$4,Data[#Headers],0))</f>
        <v>3547991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4631213</v>
      </c>
      <c r="K61" s="221">
        <f>INDEX(Data[],MATCH($A61,Data[Dist],0),MATCH(K$4,Data[#Headers],0))</f>
        <v>6022076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3749463</v>
      </c>
      <c r="K62" s="221">
        <f>INDEX(Data[],MATCH($A62,Data[Dist],0),MATCH(K$4,Data[#Headers],0))</f>
        <v>5558842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9114909</v>
      </c>
      <c r="K63" s="221">
        <f>INDEX(Data[],MATCH($A63,Data[Dist],0),MATCH(K$4,Data[#Headers],0))</f>
        <v>11477509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9310795</v>
      </c>
      <c r="K64" s="221">
        <f>INDEX(Data[],MATCH($A64,Data[Dist],0),MATCH(K$4,Data[#Headers],0))</f>
        <v>12100428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1441752</v>
      </c>
      <c r="K65" s="221">
        <f>INDEX(Data[],MATCH($A65,Data[Dist],0),MATCH(K$4,Data[#Headers],0))</f>
        <v>2080347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6927901</v>
      </c>
      <c r="K66" s="221">
        <f>INDEX(Data[],MATCH($A66,Data[Dist],0),MATCH(K$4,Data[#Headers],0))</f>
        <v>8771243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6208827</v>
      </c>
      <c r="K67" s="221">
        <f>INDEX(Data[],MATCH($A67,Data[Dist],0),MATCH(K$4,Data[#Headers],0))</f>
        <v>8043028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4941546</v>
      </c>
      <c r="K68" s="221">
        <f>INDEX(Data[],MATCH($A68,Data[Dist],0),MATCH(K$4,Data[#Headers],0))</f>
        <v>6750379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10985357</v>
      </c>
      <c r="K69" s="221">
        <f>INDEX(Data[],MATCH($A69,Data[Dist],0),MATCH(K$4,Data[#Headers],0))</f>
        <v>13653880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1884477</v>
      </c>
      <c r="K70" s="221">
        <f>INDEX(Data[],MATCH($A70,Data[Dist],0),MATCH(K$4,Data[#Headers],0))</f>
        <v>2587025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579574</v>
      </c>
      <c r="K71" s="221">
        <f>INDEX(Data[],MATCH($A71,Data[Dist],0),MATCH(K$4,Data[#Headers],0))</f>
        <v>1201085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17924592</v>
      </c>
      <c r="K72" s="221">
        <f>INDEX(Data[],MATCH($A72,Data[Dist],0),MATCH(K$4,Data[#Headers],0))</f>
        <v>23568994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3356354</v>
      </c>
      <c r="K73" s="221">
        <f>INDEX(Data[],MATCH($A73,Data[Dist],0),MATCH(K$4,Data[#Headers],0))</f>
        <v>5426554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28077669</v>
      </c>
      <c r="K74" s="221">
        <f>INDEX(Data[],MATCH($A74,Data[Dist],0),MATCH(K$4,Data[#Headers],0))</f>
        <v>34781204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4164915</v>
      </c>
      <c r="K75" s="221">
        <f>INDEX(Data[],MATCH($A75,Data[Dist],0),MATCH(K$4,Data[#Headers],0))</f>
        <v>5562480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27418665</v>
      </c>
      <c r="K76" s="221">
        <f>INDEX(Data[],MATCH($A76,Data[Dist],0),MATCH(K$4,Data[#Headers],0))</f>
        <v>36556924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2479418</v>
      </c>
      <c r="K77" s="221">
        <f>INDEX(Data[],MATCH($A77,Data[Dist],0),MATCH(K$4,Data[#Headers],0))</f>
        <v>3441124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1991415</v>
      </c>
      <c r="K78" s="221">
        <f>INDEX(Data[],MATCH($A78,Data[Dist],0),MATCH(K$4,Data[#Headers],0))</f>
        <v>2983204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5195781</v>
      </c>
      <c r="K79" s="221">
        <f>INDEX(Data[],MATCH($A79,Data[Dist],0),MATCH(K$4,Data[#Headers],0))</f>
        <v>6821216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2536649</v>
      </c>
      <c r="K80" s="221">
        <f>INDEX(Data[],MATCH($A80,Data[Dist],0),MATCH(K$4,Data[#Headers],0))</f>
        <v>3600557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1592426</v>
      </c>
      <c r="K81" s="221">
        <f>INDEX(Data[],MATCH($A81,Data[Dist],0),MATCH(K$4,Data[#Headers],0))</f>
        <v>2458733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66672499</v>
      </c>
      <c r="K82" s="221">
        <f>INDEX(Data[],MATCH($A82,Data[Dist],0),MATCH(K$4,Data[#Headers],0))</f>
        <v>81818270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8286591</v>
      </c>
      <c r="K83" s="221">
        <f>INDEX(Data[],MATCH($A83,Data[Dist],0),MATCH(K$4,Data[#Headers],0))</f>
        <v>10989404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20560849</v>
      </c>
      <c r="K84" s="221">
        <f>INDEX(Data[],MATCH($A84,Data[Dist],0),MATCH(K$4,Data[#Headers],0))</f>
        <v>26395395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2531754</v>
      </c>
      <c r="K85" s="221">
        <f>INDEX(Data[],MATCH($A85,Data[Dist],0),MATCH(K$4,Data[#Headers],0))</f>
        <v>3520481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91997481</v>
      </c>
      <c r="K86" s="221">
        <f>INDEX(Data[],MATCH($A86,Data[Dist],0),MATCH(K$4,Data[#Headers],0))</f>
        <v>117963304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6812793</v>
      </c>
      <c r="K87" s="221">
        <f>INDEX(Data[],MATCH($A87,Data[Dist],0),MATCH(K$4,Data[#Headers],0))</f>
        <v>8753947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7101660</v>
      </c>
      <c r="K88" s="221">
        <f>INDEX(Data[],MATCH($A88,Data[Dist],0),MATCH(K$4,Data[#Headers],0))</f>
        <v>10106711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1065968</v>
      </c>
      <c r="K89" s="221">
        <f>INDEX(Data[],MATCH($A89,Data[Dist],0),MATCH(K$4,Data[#Headers],0))</f>
        <v>1528798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15366358</v>
      </c>
      <c r="K90" s="221">
        <f>INDEX(Data[],MATCH($A90,Data[Dist],0),MATCH(K$4,Data[#Headers],0))</f>
        <v>19021833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5696725</v>
      </c>
      <c r="K91" s="221">
        <f>INDEX(Data[],MATCH($A91,Data[Dist],0),MATCH(K$4,Data[#Headers],0))</f>
        <v>7389415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236194007</v>
      </c>
      <c r="K92" s="221">
        <f>INDEX(Data[],MATCH($A92,Data[Dist],0),MATCH(K$4,Data[#Headers],0))</f>
        <v>292199613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618992</v>
      </c>
      <c r="K93" s="221">
        <f>INDEX(Data[],MATCH($A93,Data[Dist],0),MATCH(K$4,Data[#Headers],0))</f>
        <v>1026303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5428985</v>
      </c>
      <c r="K94" s="221">
        <f>INDEX(Data[],MATCH($A94,Data[Dist],0),MATCH(K$4,Data[#Headers],0))</f>
        <v>7139884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63630932</v>
      </c>
      <c r="K95" s="221">
        <f>INDEX(Data[],MATCH($A95,Data[Dist],0),MATCH(K$4,Data[#Headers],0))</f>
        <v>84912287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1997346</v>
      </c>
      <c r="K96" s="221">
        <f>INDEX(Data[],MATCH($A96,Data[Dist],0),MATCH(K$4,Data[#Headers],0))</f>
        <v>2863344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1779376</v>
      </c>
      <c r="K97" s="221">
        <f>INDEX(Data[],MATCH($A97,Data[Dist],0),MATCH(K$4,Data[#Headers],0))</f>
        <v>2649299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2401183</v>
      </c>
      <c r="K98" s="221">
        <f>INDEX(Data[],MATCH($A98,Data[Dist],0),MATCH(K$4,Data[#Headers],0))</f>
        <v>3387654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5301161</v>
      </c>
      <c r="K99" s="221">
        <f>INDEX(Data[],MATCH($A99,Data[Dist],0),MATCH(K$4,Data[#Headers],0))</f>
        <v>7178732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6403316</v>
      </c>
      <c r="K100" s="221">
        <f>INDEX(Data[],MATCH($A100,Data[Dist],0),MATCH(K$4,Data[#Headers],0))</f>
        <v>8488019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3295685</v>
      </c>
      <c r="K101" s="221">
        <f>INDEX(Data[],MATCH($A101,Data[Dist],0),MATCH(K$4,Data[#Headers],0))</f>
        <v>4741151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2958970</v>
      </c>
      <c r="K102" s="221">
        <f>INDEX(Data[],MATCH($A102,Data[Dist],0),MATCH(K$4,Data[#Headers],0))</f>
        <v>4027008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3035477</v>
      </c>
      <c r="K103" s="221">
        <f>INDEX(Data[],MATCH($A103,Data[Dist],0),MATCH(K$4,Data[#Headers],0))</f>
        <v>4435752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2841156</v>
      </c>
      <c r="K104" s="221">
        <f>INDEX(Data[],MATCH($A104,Data[Dist],0),MATCH(K$4,Data[#Headers],0))</f>
        <v>3966157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1550712</v>
      </c>
      <c r="K105" s="221">
        <f>INDEX(Data[],MATCH($A105,Data[Dist],0),MATCH(K$4,Data[#Headers],0))</f>
        <v>2481492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1855309</v>
      </c>
      <c r="K106" s="221">
        <f>INDEX(Data[],MATCH($A106,Data[Dist],0),MATCH(K$4,Data[#Headers],0))</f>
        <v>2689075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2136914</v>
      </c>
      <c r="K107" s="221">
        <f>INDEX(Data[],MATCH($A107,Data[Dist],0),MATCH(K$4,Data[#Headers],0))</f>
        <v>3260397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3260316</v>
      </c>
      <c r="K108" s="221">
        <f>INDEX(Data[],MATCH($A108,Data[Dist],0),MATCH(K$4,Data[#Headers],0))</f>
        <v>4312702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2785847</v>
      </c>
      <c r="K109" s="221">
        <f>INDEX(Data[],MATCH($A109,Data[Dist],0),MATCH(K$4,Data[#Headers],0))</f>
        <v>4207973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2429337</v>
      </c>
      <c r="K110" s="221">
        <f>INDEX(Data[],MATCH($A110,Data[Dist],0),MATCH(K$4,Data[#Headers],0))</f>
        <v>3414072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908942</v>
      </c>
      <c r="K111" s="221">
        <f>INDEX(Data[],MATCH($A111,Data[Dist],0),MATCH(K$4,Data[#Headers],0))</f>
        <v>1410365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7452312</v>
      </c>
      <c r="K112" s="221">
        <f>INDEX(Data[],MATCH($A112,Data[Dist],0),MATCH(K$4,Data[#Headers],0))</f>
        <v>9790994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2086673</v>
      </c>
      <c r="K113" s="221">
        <f>INDEX(Data[],MATCH($A113,Data[Dist],0),MATCH(K$4,Data[#Headers],0))</f>
        <v>3146768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7419741</v>
      </c>
      <c r="K114" s="221">
        <f>INDEX(Data[],MATCH($A114,Data[Dist],0),MATCH(K$4,Data[#Headers],0))</f>
        <v>10692082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6082877</v>
      </c>
      <c r="K115" s="221">
        <f>INDEX(Data[],MATCH($A115,Data[Dist],0),MATCH(K$4,Data[#Headers],0))</f>
        <v>8253904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22983599</v>
      </c>
      <c r="K116" s="221">
        <f>INDEX(Data[],MATCH($A116,Data[Dist],0),MATCH(K$4,Data[#Headers],0))</f>
        <v>30308116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13267026</v>
      </c>
      <c r="K117" s="221">
        <f>INDEX(Data[],MATCH($A117,Data[Dist],0),MATCH(K$4,Data[#Headers],0))</f>
        <v>17006731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2559234</v>
      </c>
      <c r="K118" s="221">
        <f>INDEX(Data[],MATCH($A118,Data[Dist],0),MATCH(K$4,Data[#Headers],0))</f>
        <v>3539730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2196913</v>
      </c>
      <c r="K119" s="221">
        <f>INDEX(Data[],MATCH($A119,Data[Dist],0),MATCH(K$4,Data[#Headers],0))</f>
        <v>3198333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3140787</v>
      </c>
      <c r="K120" s="221">
        <f>INDEX(Data[],MATCH($A120,Data[Dist],0),MATCH(K$4,Data[#Headers],0))</f>
        <v>5095791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1893672</v>
      </c>
      <c r="K121" s="221">
        <f>INDEX(Data[],MATCH($A121,Data[Dist],0),MATCH(K$4,Data[#Headers],0))</f>
        <v>2933414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8520091</v>
      </c>
      <c r="K122" s="221">
        <f>INDEX(Data[],MATCH($A122,Data[Dist],0),MATCH(K$4,Data[#Headers],0))</f>
        <v>11228349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764846</v>
      </c>
      <c r="K123" s="221">
        <f>INDEX(Data[],MATCH($A123,Data[Dist],0),MATCH(K$4,Data[#Headers],0))</f>
        <v>1156215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3251427</v>
      </c>
      <c r="K124" s="221">
        <f>INDEX(Data[],MATCH($A124,Data[Dist],0),MATCH(K$4,Data[#Headers],0))</f>
        <v>4617984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10960932</v>
      </c>
      <c r="K125" s="221">
        <f>INDEX(Data[],MATCH($A125,Data[Dist],0),MATCH(K$4,Data[#Headers],0))</f>
        <v>14285134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1582234</v>
      </c>
      <c r="K126" s="221">
        <f>INDEX(Data[],MATCH($A126,Data[Dist],0),MATCH(K$4,Data[#Headers],0))</f>
        <v>2386007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1586975</v>
      </c>
      <c r="K127" s="221">
        <f>INDEX(Data[],MATCH($A127,Data[Dist],0),MATCH(K$4,Data[#Headers],0))</f>
        <v>2417141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3776280</v>
      </c>
      <c r="K128" s="221">
        <f>INDEX(Data[],MATCH($A128,Data[Dist],0),MATCH(K$4,Data[#Headers],0))</f>
        <v>5320536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1133437</v>
      </c>
      <c r="K129" s="221">
        <f>INDEX(Data[],MATCH($A129,Data[Dist],0),MATCH(K$4,Data[#Headers],0))</f>
        <v>2102474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9161548</v>
      </c>
      <c r="K130" s="221">
        <f>INDEX(Data[],MATCH($A130,Data[Dist],0),MATCH(K$4,Data[#Headers],0))</f>
        <v>12048690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2191064</v>
      </c>
      <c r="K131" s="221">
        <f>INDEX(Data[],MATCH($A131,Data[Dist],0),MATCH(K$4,Data[#Headers],0))</f>
        <v>3217562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4112115</v>
      </c>
      <c r="K132" s="221">
        <f>INDEX(Data[],MATCH($A132,Data[Dist],0),MATCH(K$4,Data[#Headers],0))</f>
        <v>5594389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2250409</v>
      </c>
      <c r="K133" s="221">
        <f>INDEX(Data[],MATCH($A133,Data[Dist],0),MATCH(K$4,Data[#Headers],0))</f>
        <v>3264966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3115613</v>
      </c>
      <c r="K134" s="221">
        <f>INDEX(Data[],MATCH($A134,Data[Dist],0),MATCH(K$4,Data[#Headers],0))</f>
        <v>4400205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1626773</v>
      </c>
      <c r="K135" s="221">
        <f>INDEX(Data[],MATCH($A135,Data[Dist],0),MATCH(K$4,Data[#Headers],0))</f>
        <v>2368672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609872</v>
      </c>
      <c r="K136" s="221">
        <f>INDEX(Data[],MATCH($A136,Data[Dist],0),MATCH(K$4,Data[#Headers],0))</f>
        <v>1120654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7120830</v>
      </c>
      <c r="K137" s="221">
        <f>INDEX(Data[],MATCH($A137,Data[Dist],0),MATCH(K$4,Data[#Headers],0))</f>
        <v>9195923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7752819</v>
      </c>
      <c r="K138" s="221">
        <f>INDEX(Data[],MATCH($A138,Data[Dist],0),MATCH(K$4,Data[#Headers],0))</f>
        <v>10372472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814686</v>
      </c>
      <c r="K139" s="221">
        <f>INDEX(Data[],MATCH($A139,Data[Dist],0),MATCH(K$4,Data[#Headers],0))</f>
        <v>1602241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2412285</v>
      </c>
      <c r="K140" s="221">
        <f>INDEX(Data[],MATCH($A140,Data[Dist],0),MATCH(K$4,Data[#Headers],0))</f>
        <v>3900732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2661271</v>
      </c>
      <c r="K141" s="221">
        <f>INDEX(Data[],MATCH($A141,Data[Dist],0),MATCH(K$4,Data[#Headers],0))</f>
        <v>3958666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3165459</v>
      </c>
      <c r="K142" s="221">
        <f>INDEX(Data[],MATCH($A142,Data[Dist],0),MATCH(K$4,Data[#Headers],0))</f>
        <v>4331149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6277777</v>
      </c>
      <c r="K143" s="221">
        <f>INDEX(Data[],MATCH($A143,Data[Dist],0),MATCH(K$4,Data[#Headers],0))</f>
        <v>8604830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1630515</v>
      </c>
      <c r="K144" s="221">
        <f>INDEX(Data[],MATCH($A144,Data[Dist],0),MATCH(K$4,Data[#Headers],0))</f>
        <v>2461612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5441754</v>
      </c>
      <c r="K145" s="221">
        <f>INDEX(Data[],MATCH($A145,Data[Dist],0),MATCH(K$4,Data[#Headers],0))</f>
        <v>7007967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6892383</v>
      </c>
      <c r="K146" s="221">
        <f>INDEX(Data[],MATCH($A146,Data[Dist],0),MATCH(K$4,Data[#Headers],0))</f>
        <v>9483711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8556739</v>
      </c>
      <c r="K147" s="221">
        <f>INDEX(Data[],MATCH($A147,Data[Dist],0),MATCH(K$4,Data[#Headers],0))</f>
        <v>11320863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23364109</v>
      </c>
      <c r="K148" s="221">
        <f>INDEX(Data[],MATCH($A148,Data[Dist],0),MATCH(K$4,Data[#Headers],0))</f>
        <v>29140134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5028925</v>
      </c>
      <c r="K149" s="221">
        <f>INDEX(Data[],MATCH($A149,Data[Dist],0),MATCH(K$4,Data[#Headers],0))</f>
        <v>6811820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81078677</v>
      </c>
      <c r="K150" s="221">
        <f>INDEX(Data[],MATCH($A150,Data[Dist],0),MATCH(K$4,Data[#Headers],0))</f>
        <v>106158916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5702718</v>
      </c>
      <c r="K151" s="221">
        <f>INDEX(Data[],MATCH($A151,Data[Dist],0),MATCH(K$4,Data[#Headers],0))</f>
        <v>7729864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3181732</v>
      </c>
      <c r="K152" s="221">
        <f>INDEX(Data[],MATCH($A152,Data[Dist],0),MATCH(K$4,Data[#Headers],0))</f>
        <v>4176768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3108805</v>
      </c>
      <c r="K153" s="221">
        <f>INDEX(Data[],MATCH($A153,Data[Dist],0),MATCH(K$4,Data[#Headers],0))</f>
        <v>4543316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2678803</v>
      </c>
      <c r="K154" s="221">
        <f>INDEX(Data[],MATCH($A154,Data[Dist],0),MATCH(K$4,Data[#Headers],0))</f>
        <v>3755652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6386597</v>
      </c>
      <c r="K155" s="221">
        <f>INDEX(Data[],MATCH($A155,Data[Dist],0),MATCH(K$4,Data[#Headers],0))</f>
        <v>8687590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5418526</v>
      </c>
      <c r="K156" s="221">
        <f>INDEX(Data[],MATCH($A156,Data[Dist],0),MATCH(K$4,Data[#Headers],0))</f>
        <v>7253706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40507441</v>
      </c>
      <c r="K157" s="221">
        <f>INDEX(Data[],MATCH($A157,Data[Dist],0),MATCH(K$4,Data[#Headers],0))</f>
        <v>51654866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14474831</v>
      </c>
      <c r="K158" s="221">
        <f>INDEX(Data[],MATCH($A158,Data[Dist],0),MATCH(K$4,Data[#Headers],0))</f>
        <v>17800226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1601892</v>
      </c>
      <c r="K159" s="221">
        <f>INDEX(Data[],MATCH($A159,Data[Dist],0),MATCH(K$4,Data[#Headers],0))</f>
        <v>2521467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2769069</v>
      </c>
      <c r="K160" s="221">
        <f>INDEX(Data[],MATCH($A160,Data[Dist],0),MATCH(K$4,Data[#Headers],0))</f>
        <v>3680657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11810096</v>
      </c>
      <c r="K161" s="221">
        <f>INDEX(Data[],MATCH($A161,Data[Dist],0),MATCH(K$4,Data[#Headers],0))</f>
        <v>14935049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2883035</v>
      </c>
      <c r="K162" s="221">
        <f>INDEX(Data[],MATCH($A162,Data[Dist],0),MATCH(K$4,Data[#Headers],0))</f>
        <v>3999870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2181602</v>
      </c>
      <c r="K163" s="221">
        <f>INDEX(Data[],MATCH($A163,Data[Dist],0),MATCH(K$4,Data[#Headers],0))</f>
        <v>2898301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1726486</v>
      </c>
      <c r="K164" s="221">
        <f>INDEX(Data[],MATCH($A164,Data[Dist],0),MATCH(K$4,Data[#Headers],0))</f>
        <v>2438445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3383940</v>
      </c>
      <c r="K165" s="221">
        <f>INDEX(Data[],MATCH($A165,Data[Dist],0),MATCH(K$4,Data[#Headers],0))</f>
        <v>4604948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2408174</v>
      </c>
      <c r="K166" s="221">
        <f>INDEX(Data[],MATCH($A166,Data[Dist],0),MATCH(K$4,Data[#Headers],0))</f>
        <v>3606852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12016723</v>
      </c>
      <c r="K167" s="221">
        <f>INDEX(Data[],MATCH($A167,Data[Dist],0),MATCH(K$4,Data[#Headers],0))</f>
        <v>16236791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2730771</v>
      </c>
      <c r="K168" s="221">
        <f>INDEX(Data[],MATCH($A168,Data[Dist],0),MATCH(K$4,Data[#Headers],0))</f>
        <v>3762878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11821471</v>
      </c>
      <c r="K169" s="221">
        <f>INDEX(Data[],MATCH($A169,Data[Dist],0),MATCH(K$4,Data[#Headers],0))</f>
        <v>16440622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3840795</v>
      </c>
      <c r="K170" s="221">
        <f>INDEX(Data[],MATCH($A170,Data[Dist],0),MATCH(K$4,Data[#Headers],0))</f>
        <v>5546580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47444847</v>
      </c>
      <c r="K171" s="221">
        <f>INDEX(Data[],MATCH($A171,Data[Dist],0),MATCH(K$4,Data[#Headers],0))</f>
        <v>60132338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4608798</v>
      </c>
      <c r="K172" s="221">
        <f>INDEX(Data[],MATCH($A172,Data[Dist],0),MATCH(K$4,Data[#Headers],0))</f>
        <v>6177638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3476779</v>
      </c>
      <c r="K173" s="221">
        <f>INDEX(Data[],MATCH($A173,Data[Dist],0),MATCH(K$4,Data[#Headers],0))</f>
        <v>4758897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1348546</v>
      </c>
      <c r="K174" s="221">
        <f>INDEX(Data[],MATCH($A174,Data[Dist],0),MATCH(K$4,Data[#Headers],0))</f>
        <v>2263157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3898099</v>
      </c>
      <c r="K175" s="221">
        <f>INDEX(Data[],MATCH($A175,Data[Dist],0),MATCH(K$4,Data[#Headers],0))</f>
        <v>5336846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2125562</v>
      </c>
      <c r="K176" s="221">
        <f>INDEX(Data[],MATCH($A176,Data[Dist],0),MATCH(K$4,Data[#Headers],0))</f>
        <v>3224440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4162030</v>
      </c>
      <c r="K177" s="221">
        <f>INDEX(Data[],MATCH($A177,Data[Dist],0),MATCH(K$4,Data[#Headers],0))</f>
        <v>5421394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2622120</v>
      </c>
      <c r="K178" s="221">
        <f>INDEX(Data[],MATCH($A178,Data[Dist],0),MATCH(K$4,Data[#Headers],0))</f>
        <v>3817487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2859294</v>
      </c>
      <c r="K179" s="221">
        <f>INDEX(Data[],MATCH($A179,Data[Dist],0),MATCH(K$4,Data[#Headers],0))</f>
        <v>4309163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2194601</v>
      </c>
      <c r="K180" s="221">
        <f>INDEX(Data[],MATCH($A180,Data[Dist],0),MATCH(K$4,Data[#Headers],0))</f>
        <v>3424278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8581009</v>
      </c>
      <c r="K181" s="221">
        <f>INDEX(Data[],MATCH($A181,Data[Dist],0),MATCH(K$4,Data[#Headers],0))</f>
        <v>11335747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2997932</v>
      </c>
      <c r="K182" s="221">
        <f>INDEX(Data[],MATCH($A182,Data[Dist],0),MATCH(K$4,Data[#Headers],0))</f>
        <v>4437974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1361771</v>
      </c>
      <c r="K183" s="221">
        <f>INDEX(Data[],MATCH($A183,Data[Dist],0),MATCH(K$4,Data[#Headers],0))</f>
        <v>2494730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12351100</v>
      </c>
      <c r="K184" s="221">
        <f>INDEX(Data[],MATCH($A184,Data[Dist],0),MATCH(K$4,Data[#Headers],0))</f>
        <v>15819090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42322143</v>
      </c>
      <c r="K185" s="221">
        <f>INDEX(Data[],MATCH($A185,Data[Dist],0),MATCH(K$4,Data[#Headers],0))</f>
        <v>51942323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2694444</v>
      </c>
      <c r="K186" s="221">
        <f>INDEX(Data[],MATCH($A186,Data[Dist],0),MATCH(K$4,Data[#Headers],0))</f>
        <v>3763160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20943305</v>
      </c>
      <c r="K187" s="221">
        <f>INDEX(Data[],MATCH($A187,Data[Dist],0),MATCH(K$4,Data[#Headers],0))</f>
        <v>27318436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8151167</v>
      </c>
      <c r="K188" s="221">
        <f>INDEX(Data[],MATCH($A188,Data[Dist],0),MATCH(K$4,Data[#Headers],0))</f>
        <v>11335879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4993251</v>
      </c>
      <c r="K189" s="221">
        <f>INDEX(Data[],MATCH($A189,Data[Dist],0),MATCH(K$4,Data[#Headers],0))</f>
        <v>6587522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2040152</v>
      </c>
      <c r="K190" s="221">
        <f>INDEX(Data[],MATCH($A190,Data[Dist],0),MATCH(K$4,Data[#Headers],0))</f>
        <v>2798299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2703274</v>
      </c>
      <c r="K191" s="221">
        <f>INDEX(Data[],MATCH($A191,Data[Dist],0),MATCH(K$4,Data[#Headers],0))</f>
        <v>3705829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6229255</v>
      </c>
      <c r="K192" s="221">
        <f>INDEX(Data[],MATCH($A192,Data[Dist],0),MATCH(K$4,Data[#Headers],0))</f>
        <v>8834415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4341621</v>
      </c>
      <c r="K193" s="221">
        <f>INDEX(Data[],MATCH($A193,Data[Dist],0),MATCH(K$4,Data[#Headers],0))</f>
        <v>5849371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5049597</v>
      </c>
      <c r="K194" s="221">
        <f>INDEX(Data[],MATCH($A194,Data[Dist],0),MATCH(K$4,Data[#Headers],0))</f>
        <v>6732473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1168806</v>
      </c>
      <c r="K195" s="221">
        <f>INDEX(Data[],MATCH($A195,Data[Dist],0),MATCH(K$4,Data[#Headers],0))</f>
        <v>2187698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5794053</v>
      </c>
      <c r="K196" s="221">
        <f>INDEX(Data[],MATCH($A196,Data[Dist],0),MATCH(K$4,Data[#Headers],0))</f>
        <v>7831843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1831405</v>
      </c>
      <c r="K197" s="221">
        <f>INDEX(Data[],MATCH($A197,Data[Dist],0),MATCH(K$4,Data[#Headers],0))</f>
        <v>2627546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1352603</v>
      </c>
      <c r="K198" s="221">
        <f>INDEX(Data[],MATCH($A198,Data[Dist],0),MATCH(K$4,Data[#Headers],0))</f>
        <v>2041261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1322217</v>
      </c>
      <c r="K199" s="221">
        <f>INDEX(Data[],MATCH($A199,Data[Dist],0),MATCH(K$4,Data[#Headers],0))</f>
        <v>1763065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1248933</v>
      </c>
      <c r="K200" s="221">
        <f>INDEX(Data[],MATCH($A200,Data[Dist],0),MATCH(K$4,Data[#Headers],0))</f>
        <v>1764350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3136216</v>
      </c>
      <c r="K201" s="221">
        <f>INDEX(Data[],MATCH($A201,Data[Dist],0),MATCH(K$4,Data[#Headers],0))</f>
        <v>4386445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11518382</v>
      </c>
      <c r="K202" s="221">
        <f>INDEX(Data[],MATCH($A202,Data[Dist],0),MATCH(K$4,Data[#Headers],0))</f>
        <v>14668873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6659088</v>
      </c>
      <c r="K203" s="221">
        <f>INDEX(Data[],MATCH($A203,Data[Dist],0),MATCH(K$4,Data[#Headers],0))</f>
        <v>8672416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1587749</v>
      </c>
      <c r="K204" s="221">
        <f>INDEX(Data[],MATCH($A204,Data[Dist],0),MATCH(K$4,Data[#Headers],0))</f>
        <v>2163069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29367698</v>
      </c>
      <c r="K205" s="221">
        <f>INDEX(Data[],MATCH($A205,Data[Dist],0),MATCH(K$4,Data[#Headers],0))</f>
        <v>37510218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3233054</v>
      </c>
      <c r="K206" s="221">
        <f>INDEX(Data[],MATCH($A206,Data[Dist],0),MATCH(K$4,Data[#Headers],0))</f>
        <v>4421532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8503227</v>
      </c>
      <c r="K207" s="221">
        <f>INDEX(Data[],MATCH($A207,Data[Dist],0),MATCH(K$4,Data[#Headers],0))</f>
        <v>11184981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2066794</v>
      </c>
      <c r="K208" s="221">
        <f>INDEX(Data[],MATCH($A208,Data[Dist],0),MATCH(K$4,Data[#Headers],0))</f>
        <v>3161964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5172002</v>
      </c>
      <c r="K209" s="221">
        <f>INDEX(Data[],MATCH($A209,Data[Dist],0),MATCH(K$4,Data[#Headers],0))</f>
        <v>7269488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3936683</v>
      </c>
      <c r="K210" s="221">
        <f>INDEX(Data[],MATCH($A210,Data[Dist],0),MATCH(K$4,Data[#Headers],0))</f>
        <v>4987774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20072925</v>
      </c>
      <c r="K211" s="221">
        <f>INDEX(Data[],MATCH($A211,Data[Dist],0),MATCH(K$4,Data[#Headers],0))</f>
        <v>24959968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4099641</v>
      </c>
      <c r="K212" s="221">
        <f>INDEX(Data[],MATCH($A212,Data[Dist],0),MATCH(K$4,Data[#Headers],0))</f>
        <v>5701114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2757574</v>
      </c>
      <c r="K213" s="221">
        <f>INDEX(Data[],MATCH($A213,Data[Dist],0),MATCH(K$4,Data[#Headers],0))</f>
        <v>4031194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6983708</v>
      </c>
      <c r="K214" s="221">
        <f>INDEX(Data[],MATCH($A214,Data[Dist],0),MATCH(K$4,Data[#Headers],0))</f>
        <v>9065308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2275957</v>
      </c>
      <c r="K215" s="221">
        <f>INDEX(Data[],MATCH($A215,Data[Dist],0),MATCH(K$4,Data[#Headers],0))</f>
        <v>3436208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2995773</v>
      </c>
      <c r="K216" s="221">
        <f>INDEX(Data[],MATCH($A216,Data[Dist],0),MATCH(K$4,Data[#Headers],0))</f>
        <v>4068074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310573</v>
      </c>
      <c r="K217" s="221">
        <f>INDEX(Data[],MATCH($A217,Data[Dist],0),MATCH(K$4,Data[#Headers],0))</f>
        <v>954792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13902852</v>
      </c>
      <c r="K218" s="221">
        <f>INDEX(Data[],MATCH($A218,Data[Dist],0),MATCH(K$4,Data[#Headers],0))</f>
        <v>17761861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15875609</v>
      </c>
      <c r="K219" s="221">
        <f>INDEX(Data[],MATCH($A219,Data[Dist],0),MATCH(K$4,Data[#Headers],0))</f>
        <v>21136581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2392179</v>
      </c>
      <c r="K220" s="221">
        <f>INDEX(Data[],MATCH($A220,Data[Dist],0),MATCH(K$4,Data[#Headers],0))</f>
        <v>3404018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2287372</v>
      </c>
      <c r="K221" s="221">
        <f>INDEX(Data[],MATCH($A221,Data[Dist],0),MATCH(K$4,Data[#Headers],0))</f>
        <v>3362456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22993271</v>
      </c>
      <c r="K222" s="221">
        <f>INDEX(Data[],MATCH($A222,Data[Dist],0),MATCH(K$4,Data[#Headers],0))</f>
        <v>28893872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4022236</v>
      </c>
      <c r="K223" s="221">
        <f>INDEX(Data[],MATCH($A223,Data[Dist],0),MATCH(K$4,Data[#Headers],0))</f>
        <v>5452144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4532340</v>
      </c>
      <c r="K224" s="221">
        <f>INDEX(Data[],MATCH($A224,Data[Dist],0),MATCH(K$4,Data[#Headers],0))</f>
        <v>6330470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9508218</v>
      </c>
      <c r="K225" s="221">
        <f>INDEX(Data[],MATCH($A225,Data[Dist],0),MATCH(K$4,Data[#Headers],0))</f>
        <v>11774091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2203185</v>
      </c>
      <c r="K226" s="221">
        <f>INDEX(Data[],MATCH($A226,Data[Dist],0),MATCH(K$4,Data[#Headers],0))</f>
        <v>3428342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-1340236</v>
      </c>
      <c r="K227" s="221">
        <f>INDEX(Data[],MATCH($A227,Data[Dist],0),MATCH(K$4,Data[#Headers],0))</f>
        <v>766721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1161770</v>
      </c>
      <c r="K228" s="221">
        <f>INDEX(Data[],MATCH($A228,Data[Dist],0),MATCH(K$4,Data[#Headers],0))</f>
        <v>1673644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107789</v>
      </c>
      <c r="K229" s="221">
        <f>INDEX(Data[],MATCH($A229,Data[Dist],0),MATCH(K$4,Data[#Headers],0))</f>
        <v>563611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4866233</v>
      </c>
      <c r="K230" s="221">
        <f>INDEX(Data[],MATCH($A230,Data[Dist],0),MATCH(K$4,Data[#Headers],0))</f>
        <v>6665717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14284742</v>
      </c>
      <c r="K231" s="221">
        <f>INDEX(Data[],MATCH($A231,Data[Dist],0),MATCH(K$4,Data[#Headers],0))</f>
        <v>18766204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41981230</v>
      </c>
      <c r="K232" s="221">
        <f>INDEX(Data[],MATCH($A232,Data[Dist],0),MATCH(K$4,Data[#Headers],0))</f>
        <v>51037090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2529852</v>
      </c>
      <c r="K233" s="221">
        <f>INDEX(Data[],MATCH($A233,Data[Dist],0),MATCH(K$4,Data[#Headers],0))</f>
        <v>3802371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823457</v>
      </c>
      <c r="K234" s="221">
        <f>INDEX(Data[],MATCH($A234,Data[Dist],0),MATCH(K$4,Data[#Headers],0))</f>
        <v>1251250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910454</v>
      </c>
      <c r="K235" s="221">
        <f>INDEX(Data[],MATCH($A235,Data[Dist],0),MATCH(K$4,Data[#Headers],0))</f>
        <v>2217873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2479964</v>
      </c>
      <c r="K236" s="221">
        <f>INDEX(Data[],MATCH($A236,Data[Dist],0),MATCH(K$4,Data[#Headers],0))</f>
        <v>3604743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11615122</v>
      </c>
      <c r="K237" s="221">
        <f>INDEX(Data[],MATCH($A237,Data[Dist],0),MATCH(K$4,Data[#Headers],0))</f>
        <v>16142227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14048767</v>
      </c>
      <c r="K238" s="221">
        <f>INDEX(Data[],MATCH($A238,Data[Dist],0),MATCH(K$4,Data[#Headers],0))</f>
        <v>17438750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31999012</v>
      </c>
      <c r="K239" s="221">
        <f>INDEX(Data[],MATCH($A239,Data[Dist],0),MATCH(K$4,Data[#Headers],0))</f>
        <v>41103104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4833820</v>
      </c>
      <c r="K240" s="221">
        <f>INDEX(Data[],MATCH($A240,Data[Dist],0),MATCH(K$4,Data[#Headers],0))</f>
        <v>6270865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1578626</v>
      </c>
      <c r="K241" s="221">
        <f>INDEX(Data[],MATCH($A241,Data[Dist],0),MATCH(K$4,Data[#Headers],0))</f>
        <v>2954275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5733246</v>
      </c>
      <c r="K242" s="221">
        <f>INDEX(Data[],MATCH($A242,Data[Dist],0),MATCH(K$4,Data[#Headers],0))</f>
        <v>7198204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5935631</v>
      </c>
      <c r="K243" s="221">
        <f>INDEX(Data[],MATCH($A243,Data[Dist],0),MATCH(K$4,Data[#Headers],0))</f>
        <v>7903797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5667848</v>
      </c>
      <c r="K244" s="221">
        <f>INDEX(Data[],MATCH($A244,Data[Dist],0),MATCH(K$4,Data[#Headers],0))</f>
        <v>7686237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1067550</v>
      </c>
      <c r="K245" s="221">
        <f>INDEX(Data[],MATCH($A245,Data[Dist],0),MATCH(K$4,Data[#Headers],0))</f>
        <v>2067507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1356892</v>
      </c>
      <c r="K246" s="221">
        <f>INDEX(Data[],MATCH($A246,Data[Dist],0),MATCH(K$4,Data[#Headers],0))</f>
        <v>2381118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4447501</v>
      </c>
      <c r="K247" s="221">
        <f>INDEX(Data[],MATCH($A247,Data[Dist],0),MATCH(K$4,Data[#Headers],0))</f>
        <v>6566466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6072373</v>
      </c>
      <c r="K248" s="221">
        <f>INDEX(Data[],MATCH($A248,Data[Dist],0),MATCH(K$4,Data[#Headers],0))</f>
        <v>7911995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2198111</v>
      </c>
      <c r="K249" s="221">
        <f>INDEX(Data[],MATCH($A249,Data[Dist],0),MATCH(K$4,Data[#Headers],0))</f>
        <v>3180212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968450</v>
      </c>
      <c r="K250" s="221">
        <f>INDEX(Data[],MATCH($A250,Data[Dist],0),MATCH(K$4,Data[#Headers],0))</f>
        <v>1453204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2851282</v>
      </c>
      <c r="K251" s="221">
        <f>INDEX(Data[],MATCH($A251,Data[Dist],0),MATCH(K$4,Data[#Headers],0))</f>
        <v>4022409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-59645</v>
      </c>
      <c r="K252" s="221">
        <f>INDEX(Data[],MATCH($A252,Data[Dist],0),MATCH(K$4,Data[#Headers],0))</f>
        <v>1945039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1599031</v>
      </c>
      <c r="K253" s="221">
        <f>INDEX(Data[],MATCH($A253,Data[Dist],0),MATCH(K$4,Data[#Headers],0))</f>
        <v>2369689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902478</v>
      </c>
      <c r="K254" s="221">
        <f>INDEX(Data[],MATCH($A254,Data[Dist],0),MATCH(K$4,Data[#Headers],0))</f>
        <v>1429306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6447858</v>
      </c>
      <c r="K255" s="221">
        <f>INDEX(Data[],MATCH($A255,Data[Dist],0),MATCH(K$4,Data[#Headers],0))</f>
        <v>8978633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1182327</v>
      </c>
      <c r="K256" s="221">
        <f>INDEX(Data[],MATCH($A256,Data[Dist],0),MATCH(K$4,Data[#Headers],0))</f>
        <v>1896440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3663378</v>
      </c>
      <c r="K257" s="221">
        <f>INDEX(Data[],MATCH($A257,Data[Dist],0),MATCH(K$4,Data[#Headers],0))</f>
        <v>5219186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7350089</v>
      </c>
      <c r="K258" s="221">
        <f>INDEX(Data[],MATCH($A258,Data[Dist],0),MATCH(K$4,Data[#Headers],0))</f>
        <v>9775152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6376678</v>
      </c>
      <c r="K259" s="221">
        <f>INDEX(Data[],MATCH($A259,Data[Dist],0),MATCH(K$4,Data[#Headers],0))</f>
        <v>8469864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3691166</v>
      </c>
      <c r="K260" s="221">
        <f>INDEX(Data[],MATCH($A260,Data[Dist],0),MATCH(K$4,Data[#Headers],0))</f>
        <v>5195340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1924813</v>
      </c>
      <c r="K261" s="221">
        <f>INDEX(Data[],MATCH($A261,Data[Dist],0),MATCH(K$4,Data[#Headers],0))</f>
        <v>2775202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3489432</v>
      </c>
      <c r="K262" s="221">
        <f>INDEX(Data[],MATCH($A262,Data[Dist],0),MATCH(K$4,Data[#Headers],0))</f>
        <v>4613828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10300150</v>
      </c>
      <c r="K263" s="221">
        <f>INDEX(Data[],MATCH($A263,Data[Dist],0),MATCH(K$4,Data[#Headers],0))</f>
        <v>14058278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117255130</v>
      </c>
      <c r="K264" s="221">
        <f>INDEX(Data[],MATCH($A264,Data[Dist],0),MATCH(K$4,Data[#Headers],0))</f>
        <v>143869029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2007114</v>
      </c>
      <c r="K265" s="221">
        <f>INDEX(Data[],MATCH($A265,Data[Dist],0),MATCH(K$4,Data[#Headers],0))</f>
        <v>2987865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3876867</v>
      </c>
      <c r="K266" s="221">
        <f>INDEX(Data[],MATCH($A266,Data[Dist],0),MATCH(K$4,Data[#Headers],0))</f>
        <v>5687941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7833519</v>
      </c>
      <c r="K267" s="221">
        <f>INDEX(Data[],MATCH($A267,Data[Dist],0),MATCH(K$4,Data[#Headers],0))</f>
        <v>10359305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3058311</v>
      </c>
      <c r="K268" s="221">
        <f>INDEX(Data[],MATCH($A268,Data[Dist],0),MATCH(K$4,Data[#Headers],0))</f>
        <v>4065855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2950422</v>
      </c>
      <c r="K269" s="221">
        <f>INDEX(Data[],MATCH($A269,Data[Dist],0),MATCH(K$4,Data[#Headers],0))</f>
        <v>4216087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5001157</v>
      </c>
      <c r="K270" s="221">
        <f>INDEX(Data[],MATCH($A270,Data[Dist],0),MATCH(K$4,Data[#Headers],0))</f>
        <v>7505953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956831</v>
      </c>
      <c r="K271" s="221">
        <f>INDEX(Data[],MATCH($A271,Data[Dist],0),MATCH(K$4,Data[#Headers],0))</f>
        <v>1394139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9826504</v>
      </c>
      <c r="K272" s="221">
        <f>INDEX(Data[],MATCH($A272,Data[Dist],0),MATCH(K$4,Data[#Headers],0))</f>
        <v>12399832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3307067</v>
      </c>
      <c r="K273" s="221">
        <f>INDEX(Data[],MATCH($A273,Data[Dist],0),MATCH(K$4,Data[#Headers],0))</f>
        <v>4603657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48693397</v>
      </c>
      <c r="K274" s="221">
        <f>INDEX(Data[],MATCH($A274,Data[Dist],0),MATCH(K$4,Data[#Headers],0))</f>
        <v>60997769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12860354</v>
      </c>
      <c r="K275" s="221">
        <f>INDEX(Data[],MATCH($A275,Data[Dist],0),MATCH(K$4,Data[#Headers],0))</f>
        <v>16750597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-168421</v>
      </c>
      <c r="K276" s="221">
        <f>INDEX(Data[],MATCH($A276,Data[Dist],0),MATCH(K$4,Data[#Headers],0))</f>
        <v>1977105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2412810</v>
      </c>
      <c r="K277" s="221">
        <f>INDEX(Data[],MATCH($A277,Data[Dist],0),MATCH(K$4,Data[#Headers],0))</f>
        <v>3480471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1307786</v>
      </c>
      <c r="K278" s="221">
        <f>INDEX(Data[],MATCH($A278,Data[Dist],0),MATCH(K$4,Data[#Headers],0))</f>
        <v>1846801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3196284</v>
      </c>
      <c r="K279" s="221">
        <f>INDEX(Data[],MATCH($A279,Data[Dist],0),MATCH(K$4,Data[#Headers],0))</f>
        <v>4334981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21678578</v>
      </c>
      <c r="K280" s="221">
        <f>INDEX(Data[],MATCH($A280,Data[Dist],0),MATCH(K$4,Data[#Headers],0))</f>
        <v>26816968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748810</v>
      </c>
      <c r="K281" s="221">
        <f>INDEX(Data[],MATCH($A281,Data[Dist],0),MATCH(K$4,Data[#Headers],0))</f>
        <v>1082640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4764733</v>
      </c>
      <c r="K282" s="221">
        <f>INDEX(Data[],MATCH($A282,Data[Dist],0),MATCH(K$4,Data[#Headers],0))</f>
        <v>6553825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4467394</v>
      </c>
      <c r="K283" s="221">
        <f>INDEX(Data[],MATCH($A283,Data[Dist],0),MATCH(K$4,Data[#Headers],0))</f>
        <v>5998327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4342636</v>
      </c>
      <c r="K284" s="221">
        <f>INDEX(Data[],MATCH($A284,Data[Dist],0),MATCH(K$4,Data[#Headers],0))</f>
        <v>5999774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2960324</v>
      </c>
      <c r="K285" s="221">
        <f>INDEX(Data[],MATCH($A285,Data[Dist],0),MATCH(K$4,Data[#Headers],0))</f>
        <v>4133569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4025667</v>
      </c>
      <c r="K286" s="221">
        <f>INDEX(Data[],MATCH($A286,Data[Dist],0),MATCH(K$4,Data[#Headers],0))</f>
        <v>5426861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1312933</v>
      </c>
      <c r="K287" s="221">
        <f>INDEX(Data[],MATCH($A287,Data[Dist],0),MATCH(K$4,Data[#Headers],0))</f>
        <v>1883432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2597440</v>
      </c>
      <c r="K288" s="221">
        <f>INDEX(Data[],MATCH($A288,Data[Dist],0),MATCH(K$4,Data[#Headers],0))</f>
        <v>3524807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1749430</v>
      </c>
      <c r="K289" s="221">
        <f>INDEX(Data[],MATCH($A289,Data[Dist],0),MATCH(K$4,Data[#Headers],0))</f>
        <v>2601541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1874616</v>
      </c>
      <c r="K290" s="221">
        <f>INDEX(Data[],MATCH($A290,Data[Dist],0),MATCH(K$4,Data[#Headers],0))</f>
        <v>2628992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557260</v>
      </c>
      <c r="K291" s="221">
        <f>INDEX(Data[],MATCH($A291,Data[Dist],0),MATCH(K$4,Data[#Headers],0))</f>
        <v>932552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4141489</v>
      </c>
      <c r="K292" s="221">
        <f>INDEX(Data[],MATCH($A292,Data[Dist],0),MATCH(K$4,Data[#Headers],0))</f>
        <v>5638996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919027</v>
      </c>
      <c r="K293" s="221">
        <f>INDEX(Data[],MATCH($A293,Data[Dist],0),MATCH(K$4,Data[#Headers],0))</f>
        <v>1893949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20840214</v>
      </c>
      <c r="K294" s="221">
        <f>INDEX(Data[],MATCH($A294,Data[Dist],0),MATCH(K$4,Data[#Headers],0))</f>
        <v>27252047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5119697</v>
      </c>
      <c r="K295" s="221">
        <f>INDEX(Data[],MATCH($A295,Data[Dist],0),MATCH(K$4,Data[#Headers],0))</f>
        <v>7048377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5622021</v>
      </c>
      <c r="K296" s="221">
        <f>INDEX(Data[],MATCH($A296,Data[Dist],0),MATCH(K$4,Data[#Headers],0))</f>
        <v>7346470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1454019</v>
      </c>
      <c r="K297" s="221">
        <f>INDEX(Data[],MATCH($A297,Data[Dist],0),MATCH(K$4,Data[#Headers],0))</f>
        <v>2086559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10191416</v>
      </c>
      <c r="K298" s="221">
        <f>INDEX(Data[],MATCH($A298,Data[Dist],0),MATCH(K$4,Data[#Headers],0))</f>
        <v>13130684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3268706</v>
      </c>
      <c r="K299" s="221">
        <f>INDEX(Data[],MATCH($A299,Data[Dist],0),MATCH(K$4,Data[#Headers],0))</f>
        <v>4618875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3865895</v>
      </c>
      <c r="K300" s="221">
        <f>INDEX(Data[],MATCH($A300,Data[Dist],0),MATCH(K$4,Data[#Headers],0))</f>
        <v>5587383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3178928</v>
      </c>
      <c r="K301" s="221">
        <f>INDEX(Data[],MATCH($A301,Data[Dist],0),MATCH(K$4,Data[#Headers],0))</f>
        <v>4292207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3709679</v>
      </c>
      <c r="K302" s="221">
        <f>INDEX(Data[],MATCH($A302,Data[Dist],0),MATCH(K$4,Data[#Headers],0))</f>
        <v>5013627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10808773</v>
      </c>
      <c r="K303" s="221">
        <f>INDEX(Data[],MATCH($A303,Data[Dist],0),MATCH(K$4,Data[#Headers],0))</f>
        <v>14357596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87408234</v>
      </c>
      <c r="K304" s="221">
        <f>INDEX(Data[],MATCH($A304,Data[Dist],0),MATCH(K$4,Data[#Headers],0))</f>
        <v>107194816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79423288</v>
      </c>
      <c r="K305" s="221">
        <f>INDEX(Data[],MATCH($A305,Data[Dist],0),MATCH(K$4,Data[#Headers],0))</f>
        <v>102039648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13072281</v>
      </c>
      <c r="K306" s="221">
        <f>INDEX(Data[],MATCH($A306,Data[Dist],0),MATCH(K$4,Data[#Headers],0))</f>
        <v>16962605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2926664</v>
      </c>
      <c r="K307" s="221">
        <f>INDEX(Data[],MATCH($A307,Data[Dist],0),MATCH(K$4,Data[#Headers],0))</f>
        <v>4236850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10411025</v>
      </c>
      <c r="K308" s="221">
        <f>INDEX(Data[],MATCH($A308,Data[Dist],0),MATCH(K$4,Data[#Headers],0))</f>
        <v>13869224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1256272</v>
      </c>
      <c r="K309" s="221">
        <f>INDEX(Data[],MATCH($A309,Data[Dist],0),MATCH(K$4,Data[#Headers],0))</f>
        <v>2162404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4078870</v>
      </c>
      <c r="K310" s="221">
        <f>INDEX(Data[],MATCH($A310,Data[Dist],0),MATCH(K$4,Data[#Headers],0))</f>
        <v>5668057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2254287</v>
      </c>
      <c r="K311" s="221">
        <f>INDEX(Data[],MATCH($A311,Data[Dist],0),MATCH(K$4,Data[#Headers],0))</f>
        <v>3294944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1414450</v>
      </c>
      <c r="K312" s="221">
        <f>INDEX(Data[],MATCH($A312,Data[Dist],0),MATCH(K$4,Data[#Headers],0))</f>
        <v>2144775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7019729</v>
      </c>
      <c r="K313" s="221">
        <f>INDEX(Data[],MATCH($A313,Data[Dist],0),MATCH(K$4,Data[#Headers],0))</f>
        <v>9655765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41745592</v>
      </c>
      <c r="K314" s="221">
        <f>INDEX(Data[],MATCH($A314,Data[Dist],0),MATCH(K$4,Data[#Headers],0))</f>
        <v>56602081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16709680</v>
      </c>
      <c r="K315" s="221">
        <f>INDEX(Data[],MATCH($A315,Data[Dist],0),MATCH(K$4,Data[#Headers],0))</f>
        <v>23730463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1423305</v>
      </c>
      <c r="K316" s="221">
        <f>INDEX(Data[],MATCH($A316,Data[Dist],0),MATCH(K$4,Data[#Headers],0))</f>
        <v>2144653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9021452</v>
      </c>
      <c r="K317" s="221">
        <f>INDEX(Data[],MATCH($A317,Data[Dist],0),MATCH(K$4,Data[#Headers],0))</f>
        <v>11556784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4459469</v>
      </c>
      <c r="K318" s="221">
        <f>INDEX(Data[],MATCH($A318,Data[Dist],0),MATCH(K$4,Data[#Headers],0))</f>
        <v>6394449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3918629</v>
      </c>
      <c r="K319" s="221">
        <f>INDEX(Data[],MATCH($A319,Data[Dist],0),MATCH(K$4,Data[#Headers],0))</f>
        <v>5368548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2905340</v>
      </c>
      <c r="K320" s="221">
        <f>INDEX(Data[],MATCH($A320,Data[Dist],0),MATCH(K$4,Data[#Headers],0))</f>
        <v>4239525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5166377</v>
      </c>
      <c r="K321" s="221">
        <f>INDEX(Data[],MATCH($A321,Data[Dist],0),MATCH(K$4,Data[#Headers],0))</f>
        <v>6793181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1889670</v>
      </c>
      <c r="K322" s="221">
        <f>INDEX(Data[],MATCH($A322,Data[Dist],0),MATCH(K$4,Data[#Headers],0))</f>
        <v>2965552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701288</v>
      </c>
      <c r="K323" s="221">
        <f>INDEX(Data[],MATCH($A323,Data[Dist],0),MATCH(K$4,Data[#Headers],0))</f>
        <v>1211693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6370684</v>
      </c>
      <c r="K324" s="221">
        <f>INDEX(Data[],MATCH($A324,Data[Dist],0),MATCH(K$4,Data[#Headers],0))</f>
        <v>8489920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5189818</v>
      </c>
      <c r="K325" s="221">
        <f>INDEX(Data[],MATCH($A325,Data[Dist],0),MATCH(K$4,Data[#Headers],0))</f>
        <v>6772645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1750965</v>
      </c>
      <c r="K326" s="221">
        <f>INDEX(Data[],MATCH($A326,Data[Dist],0),MATCH(K$4,Data[#Headers],0))</f>
        <v>2514928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10159046</v>
      </c>
      <c r="K327" s="221">
        <f>INDEX(Data[],MATCH($A327,Data[Dist],0),MATCH(K$4,Data[#Headers],0))</f>
        <v>13083733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3062551</v>
      </c>
      <c r="K328" s="221">
        <f>INDEX(Data[],MATCH($A328,Data[Dist],0),MATCH(K$4,Data[#Headers],0))</f>
        <v>4194013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3216975</v>
      </c>
      <c r="K329" s="221">
        <f>INDEX(Data[],MATCH($A329,Data[Dist],0),MATCH(K$4,Data[#Headers],0))</f>
        <v>4306820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6825699</v>
      </c>
      <c r="K330" s="221">
        <f>INDEX(Data[],MATCH($A330,Data[Dist],0),MATCH(K$4,Data[#Headers],0))</f>
        <v>8942793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2980600965</v>
      </c>
      <c r="K331" s="214">
        <f t="shared" si="0"/>
        <v>3910021543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83" t="str">
        <f>CONCATENATE("FY ",Notes!$B$1," State Payments to School Districts (",Notes!$B$2," Total)")</f>
        <v>FY 2026 State Payments to School Districts (June Total)</v>
      </c>
      <c r="B1" s="283"/>
      <c r="C1" s="283"/>
      <c r="D1" s="283"/>
      <c r="E1" s="283"/>
      <c r="F1" s="283"/>
      <c r="G1" s="283"/>
      <c r="H1" s="283"/>
      <c r="I1" s="10"/>
      <c r="J1" s="293" t="s">
        <v>753</v>
      </c>
      <c r="K1" s="293"/>
      <c r="L1" s="293"/>
      <c r="M1" s="293"/>
      <c r="N1" s="293"/>
      <c r="O1" s="10"/>
      <c r="P1" s="32"/>
      <c r="Q1" s="32"/>
      <c r="R1" s="33"/>
      <c r="S1" s="33"/>
      <c r="T1" s="282" t="s">
        <v>756</v>
      </c>
    </row>
    <row r="2" spans="1:25" s="11" customFormat="1" ht="27.75" customHeight="1" x14ac:dyDescent="0.2">
      <c r="A2" s="291" t="s">
        <v>16</v>
      </c>
      <c r="B2" s="291"/>
      <c r="C2" s="291"/>
      <c r="D2" s="291"/>
      <c r="E2" s="291"/>
      <c r="F2" s="291"/>
      <c r="G2" s="291"/>
      <c r="H2" s="291"/>
      <c r="I2" s="27"/>
      <c r="J2" s="292" t="s">
        <v>745</v>
      </c>
      <c r="K2" s="292" t="s">
        <v>746</v>
      </c>
      <c r="L2" s="292" t="s">
        <v>747</v>
      </c>
      <c r="M2" s="292" t="s">
        <v>757</v>
      </c>
      <c r="N2" s="292" t="s">
        <v>748</v>
      </c>
      <c r="O2" s="27"/>
      <c r="P2" s="34"/>
      <c r="Q2" s="34"/>
      <c r="R2" s="33"/>
      <c r="S2" s="282" t="s">
        <v>737</v>
      </c>
      <c r="T2" s="282"/>
      <c r="V2" s="285" t="s">
        <v>793</v>
      </c>
      <c r="W2" s="285"/>
      <c r="X2" s="285"/>
      <c r="Y2" s="285"/>
    </row>
    <row r="3" spans="1:25" s="14" customFormat="1" ht="12.75" customHeight="1" x14ac:dyDescent="0.2">
      <c r="A3" s="286"/>
      <c r="B3" s="287"/>
      <c r="C3" s="288" t="s">
        <v>12</v>
      </c>
      <c r="D3" s="289"/>
      <c r="E3" s="289"/>
      <c r="F3" s="289"/>
      <c r="G3" s="289"/>
      <c r="H3" s="290"/>
      <c r="J3" s="292"/>
      <c r="K3" s="292"/>
      <c r="L3" s="292"/>
      <c r="M3" s="292"/>
      <c r="N3" s="292"/>
      <c r="P3" s="35"/>
      <c r="Q3" s="35"/>
      <c r="R3" s="35"/>
      <c r="S3" s="282"/>
      <c r="T3" s="282"/>
      <c r="V3" s="285"/>
      <c r="W3" s="285"/>
      <c r="X3" s="285"/>
      <c r="Y3" s="285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92"/>
      <c r="K4" s="292"/>
      <c r="L4" s="292"/>
      <c r="M4" s="292"/>
      <c r="N4" s="292"/>
      <c r="P4" s="35"/>
      <c r="Q4" s="35"/>
      <c r="R4" s="35"/>
      <c r="S4" s="282"/>
      <c r="T4" s="282"/>
      <c r="V4" s="285"/>
      <c r="W4" s="285"/>
      <c r="X4" s="285"/>
      <c r="Y4" s="285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June</v>
      </c>
      <c r="H5" s="38" t="s">
        <v>735</v>
      </c>
      <c r="J5" s="292"/>
      <c r="K5" s="292"/>
      <c r="L5" s="292"/>
      <c r="M5" s="292"/>
      <c r="N5" s="292"/>
      <c r="P5" s="35" t="s">
        <v>740</v>
      </c>
      <c r="Q5" s="35"/>
      <c r="R5" s="35"/>
      <c r="S5" s="282"/>
      <c r="T5" s="282"/>
      <c r="V5" s="285"/>
      <c r="W5" s="285"/>
      <c r="X5" s="285"/>
      <c r="Y5" s="285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June</v>
      </c>
      <c r="H6" s="40" t="str">
        <f>Notes!$B$3</f>
        <v>Pay 3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457424</v>
      </c>
      <c r="E7" s="21">
        <f>INDEX(Data[],MATCH($A7,Data[Dist],0),MATCH(E$6,Data[#Headers],0))</f>
        <v>457424</v>
      </c>
      <c r="F7" s="21">
        <f>INDEX(Data[],MATCH($A7,Data[Dist],0),MATCH(F$6,Data[#Headers],0))</f>
        <v>457423</v>
      </c>
      <c r="G7" s="21">
        <f>INDEX(Data[],MATCH($A7,Data[Dist],0),MATCH(G$6,Data[#Headers],0))</f>
        <v>4584943</v>
      </c>
      <c r="H7" s="21">
        <f>INDEX(Data[],MATCH($A7,Data[Dist],0),MATCH(H$6,Data[#Headers],0))-G7</f>
        <v>0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914848</v>
      </c>
      <c r="L7" s="21">
        <f>INDEX(Notes!$I$2:$N$11,MATCH(Notes!$B$2,Notes!$I$2:$I$11,0),6)*$E7</f>
        <v>1372272</v>
      </c>
      <c r="M7" s="21">
        <f>IF(Notes!$B$2="June",'Payment Total'!$F7,0)</f>
        <v>457423</v>
      </c>
      <c r="N7" s="21">
        <f>SUM(J7:M7)-G7</f>
        <v>0</v>
      </c>
      <c r="P7" s="188" t="s">
        <v>826</v>
      </c>
      <c r="Q7" s="20">
        <v>457423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INDEX($A$7:$H$331,MATCH($S7,$A$7:$A$331,0),6)-Q7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229784</v>
      </c>
      <c r="E8" s="21">
        <f>INDEX(Data[],MATCH($A8,Data[Dist],0),MATCH(E$6,Data[#Headers],0))</f>
        <v>229784</v>
      </c>
      <c r="F8" s="21">
        <f>INDEX(Data[],MATCH($A8,Data[Dist],0),MATCH(F$6,Data[#Headers],0))</f>
        <v>229784</v>
      </c>
      <c r="G8" s="21">
        <f>INDEX(Data[],MATCH($A8,Data[Dist],0),MATCH(G$6,Data[#Headers],0))</f>
        <v>2302308</v>
      </c>
      <c r="H8" s="21">
        <f>INDEX(Data[],MATCH($A8,Data[Dist],0),MATCH(H$6,Data[#Headers],0))-G8</f>
        <v>0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459568</v>
      </c>
      <c r="L8" s="21">
        <f>INDEX(Notes!$I$2:$N$11,MATCH(Notes!$B$2,Notes!$I$2:$I$11,0),6)*$E8</f>
        <v>689352</v>
      </c>
      <c r="M8" s="21">
        <f>IF(Notes!$B$2="June",'Payment Total'!$F8,0)</f>
        <v>229784</v>
      </c>
      <c r="N8" s="21">
        <f t="shared" ref="N8:N71" si="0">SUM(J8:M8)-G8</f>
        <v>0</v>
      </c>
      <c r="P8" s="188" t="s">
        <v>827</v>
      </c>
      <c r="Q8" s="20">
        <v>229784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INDEX($A$7:$H$331,MATCH($S8,$A$7:$A$331,0),6)-Q8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1763955</v>
      </c>
      <c r="E9" s="21">
        <f>INDEX(Data[],MATCH($A9,Data[Dist],0),MATCH(E$6,Data[#Headers],0))</f>
        <v>1763955</v>
      </c>
      <c r="F9" s="21">
        <f>INDEX(Data[],MATCH($A9,Data[Dist],0),MATCH(F$6,Data[#Headers],0))</f>
        <v>1763956</v>
      </c>
      <c r="G9" s="21">
        <f>INDEX(Data[],MATCH($A9,Data[Dist],0),MATCH(G$6,Data[#Headers],0))</f>
        <v>17672555</v>
      </c>
      <c r="H9" s="21">
        <f>INDEX(Data[],MATCH($A9,Data[Dist],0),MATCH(H$6,Data[#Headers],0))-G9</f>
        <v>0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3527910</v>
      </c>
      <c r="L9" s="21">
        <f>INDEX(Notes!$I$2:$N$11,MATCH(Notes!$B$2,Notes!$I$2:$I$11,0),6)*$E9</f>
        <v>5291865</v>
      </c>
      <c r="M9" s="21">
        <f>IF(Notes!$B$2="June",'Payment Total'!$F9,0)</f>
        <v>1763956</v>
      </c>
      <c r="N9" s="21">
        <f t="shared" si="0"/>
        <v>0</v>
      </c>
      <c r="P9" s="188" t="s">
        <v>828</v>
      </c>
      <c r="Q9" s="21">
        <v>1763956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421240</v>
      </c>
      <c r="E10" s="21">
        <f>INDEX(Data[],MATCH($A10,Data[Dist],0),MATCH(E$6,Data[#Headers],0))</f>
        <v>421240</v>
      </c>
      <c r="F10" s="21">
        <f>INDEX(Data[],MATCH($A10,Data[Dist],0),MATCH(F$6,Data[#Headers],0))</f>
        <v>421239</v>
      </c>
      <c r="G10" s="21">
        <f>INDEX(Data[],MATCH($A10,Data[Dist],0),MATCH(G$6,Data[#Headers],0))</f>
        <v>4220419</v>
      </c>
      <c r="H10" s="21">
        <f>INDEX(Data[],MATCH($A10,Data[Dist],0),MATCH(H$6,Data[#Headers],0))-G10</f>
        <v>0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842480</v>
      </c>
      <c r="L10" s="21">
        <f>INDEX(Notes!$I$2:$N$11,MATCH(Notes!$B$2,Notes!$I$2:$I$11,0),6)*$E10</f>
        <v>1263720</v>
      </c>
      <c r="M10" s="21">
        <f>IF(Notes!$B$2="June",'Payment Total'!$F10,0)</f>
        <v>421239</v>
      </c>
      <c r="N10" s="21">
        <f t="shared" si="0"/>
        <v>0</v>
      </c>
      <c r="P10" s="188" t="s">
        <v>829</v>
      </c>
      <c r="Q10" s="20">
        <v>421239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126102</v>
      </c>
      <c r="E11" s="21">
        <f>INDEX(Data[],MATCH($A11,Data[Dist],0),MATCH(E$6,Data[#Headers],0))</f>
        <v>126102</v>
      </c>
      <c r="F11" s="21">
        <f>INDEX(Data[],MATCH($A11,Data[Dist],0),MATCH(F$6,Data[#Headers],0))</f>
        <v>126102</v>
      </c>
      <c r="G11" s="21">
        <f>INDEX(Data[],MATCH($A11,Data[Dist],0),MATCH(G$6,Data[#Headers],0))</f>
        <v>1264156</v>
      </c>
      <c r="H11" s="21">
        <f>INDEX(Data[],MATCH($A11,Data[Dist],0),MATCH(H$6,Data[#Headers],0))-G11</f>
        <v>0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252204</v>
      </c>
      <c r="L11" s="21">
        <f>INDEX(Notes!$I$2:$N$11,MATCH(Notes!$B$2,Notes!$I$2:$I$11,0),6)*$E11</f>
        <v>378306</v>
      </c>
      <c r="M11" s="21">
        <f>IF(Notes!$B$2="June",'Payment Total'!$F11,0)</f>
        <v>126102</v>
      </c>
      <c r="N11" s="21">
        <f t="shared" si="0"/>
        <v>0</v>
      </c>
      <c r="P11" s="188" t="s">
        <v>830</v>
      </c>
      <c r="Q11" s="20">
        <v>126102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921307</v>
      </c>
      <c r="E12" s="21">
        <f>INDEX(Data[],MATCH($A12,Data[Dist],0),MATCH(E$6,Data[#Headers],0))</f>
        <v>921307</v>
      </c>
      <c r="F12" s="21">
        <f>INDEX(Data[],MATCH($A12,Data[Dist],0),MATCH(F$6,Data[#Headers],0))</f>
        <v>921308</v>
      </c>
      <c r="G12" s="21">
        <f>INDEX(Data[],MATCH($A12,Data[Dist],0),MATCH(G$6,Data[#Headers],0))</f>
        <v>9229503</v>
      </c>
      <c r="H12" s="21">
        <f>INDEX(Data[],MATCH($A12,Data[Dist],0),MATCH(H$6,Data[#Headers],0))-G12</f>
        <v>0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1842614</v>
      </c>
      <c r="L12" s="21">
        <f>INDEX(Notes!$I$2:$N$11,MATCH(Notes!$B$2,Notes!$I$2:$I$11,0),6)*$E12</f>
        <v>2763921</v>
      </c>
      <c r="M12" s="21">
        <f>IF(Notes!$B$2="June",'Payment Total'!$F12,0)</f>
        <v>921308</v>
      </c>
      <c r="N12" s="21">
        <f t="shared" si="0"/>
        <v>0</v>
      </c>
      <c r="P12" s="188" t="s">
        <v>831</v>
      </c>
      <c r="Q12" s="20">
        <v>921308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407332</v>
      </c>
      <c r="E13" s="21">
        <f>INDEX(Data[],MATCH($A13,Data[Dist],0),MATCH(E$6,Data[#Headers],0))</f>
        <v>407331</v>
      </c>
      <c r="F13" s="21">
        <f>INDEX(Data[],MATCH($A13,Data[Dist],0),MATCH(F$6,Data[#Headers],0))</f>
        <v>407332</v>
      </c>
      <c r="G13" s="21">
        <f>INDEX(Data[],MATCH($A13,Data[Dist],0),MATCH(G$6,Data[#Headers],0))</f>
        <v>4081545</v>
      </c>
      <c r="H13" s="21">
        <f>INDEX(Data[],MATCH($A13,Data[Dist],0),MATCH(H$6,Data[#Headers],0))-G13</f>
        <v>0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814664</v>
      </c>
      <c r="L13" s="21">
        <f>INDEX(Notes!$I$2:$N$11,MATCH(Notes!$B$2,Notes!$I$2:$I$11,0),6)*$E13</f>
        <v>1221993</v>
      </c>
      <c r="M13" s="21">
        <f>IF(Notes!$B$2="June",'Payment Total'!$F13,0)</f>
        <v>407332</v>
      </c>
      <c r="N13" s="21">
        <f t="shared" si="0"/>
        <v>0</v>
      </c>
      <c r="P13" s="188" t="s">
        <v>832</v>
      </c>
      <c r="Q13" s="20">
        <v>407332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183207</v>
      </c>
      <c r="E14" s="21">
        <f>INDEX(Data[],MATCH($A14,Data[Dist],0),MATCH(E$6,Data[#Headers],0))</f>
        <v>183207</v>
      </c>
      <c r="F14" s="21">
        <f>INDEX(Data[],MATCH($A14,Data[Dist],0),MATCH(F$6,Data[#Headers],0))</f>
        <v>183205</v>
      </c>
      <c r="G14" s="21">
        <f>INDEX(Data[],MATCH($A14,Data[Dist],0),MATCH(G$6,Data[#Headers],0))</f>
        <v>1835916</v>
      </c>
      <c r="H14" s="21">
        <f>INDEX(Data[],MATCH($A14,Data[Dist],0),MATCH(H$6,Data[#Headers],0))-G14</f>
        <v>0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366414</v>
      </c>
      <c r="L14" s="21">
        <f>INDEX(Notes!$I$2:$N$11,MATCH(Notes!$B$2,Notes!$I$2:$I$11,0),6)*$E14</f>
        <v>549621</v>
      </c>
      <c r="M14" s="21">
        <f>IF(Notes!$B$2="June",'Payment Total'!$F14,0)</f>
        <v>183205</v>
      </c>
      <c r="N14" s="21">
        <f t="shared" si="0"/>
        <v>0</v>
      </c>
      <c r="P14" s="188" t="s">
        <v>833</v>
      </c>
      <c r="Q14" s="20">
        <v>183205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979770</v>
      </c>
      <c r="E15" s="21">
        <f>INDEX(Data[],MATCH($A15,Data[Dist],0),MATCH(E$6,Data[#Headers],0))</f>
        <v>979770</v>
      </c>
      <c r="F15" s="21">
        <f>INDEX(Data[],MATCH($A15,Data[Dist],0),MATCH(F$6,Data[#Headers],0))</f>
        <v>979768</v>
      </c>
      <c r="G15" s="21">
        <f>INDEX(Data[],MATCH($A15,Data[Dist],0),MATCH(G$6,Data[#Headers],0))</f>
        <v>9819698</v>
      </c>
      <c r="H15" s="21">
        <f>INDEX(Data[],MATCH($A15,Data[Dist],0),MATCH(H$6,Data[#Headers],0))-G15</f>
        <v>0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1959540</v>
      </c>
      <c r="L15" s="21">
        <f>INDEX(Notes!$I$2:$N$11,MATCH(Notes!$B$2,Notes!$I$2:$I$11,0),6)*$E15</f>
        <v>2939310</v>
      </c>
      <c r="M15" s="21">
        <f>IF(Notes!$B$2="June",'Payment Total'!$F15,0)</f>
        <v>979768</v>
      </c>
      <c r="N15" s="21">
        <f t="shared" si="0"/>
        <v>0</v>
      </c>
      <c r="P15" s="188" t="s">
        <v>834</v>
      </c>
      <c r="Q15" s="20">
        <v>979768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851685</v>
      </c>
      <c r="E16" s="21">
        <f>INDEX(Data[],MATCH($A16,Data[Dist],0),MATCH(E$6,Data[#Headers],0))</f>
        <v>851686</v>
      </c>
      <c r="F16" s="21">
        <f>INDEX(Data[],MATCH($A16,Data[Dist],0),MATCH(F$6,Data[#Headers],0))</f>
        <v>851684</v>
      </c>
      <c r="G16" s="21">
        <f>INDEX(Data[],MATCH($A16,Data[Dist],0),MATCH(G$6,Data[#Headers],0))</f>
        <v>8533644</v>
      </c>
      <c r="H16" s="21">
        <f>INDEX(Data[],MATCH($A16,Data[Dist],0),MATCH(H$6,Data[#Headers],0))-G16</f>
        <v>0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1703370</v>
      </c>
      <c r="L16" s="21">
        <f>INDEX(Notes!$I$2:$N$11,MATCH(Notes!$B$2,Notes!$I$2:$I$11,0),6)*$E16</f>
        <v>2555058</v>
      </c>
      <c r="M16" s="21">
        <f>IF(Notes!$B$2="June",'Payment Total'!$F16,0)</f>
        <v>851684</v>
      </c>
      <c r="N16" s="21">
        <f t="shared" si="0"/>
        <v>0</v>
      </c>
      <c r="P16" s="188" t="s">
        <v>835</v>
      </c>
      <c r="Q16" s="20">
        <v>851684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402293</v>
      </c>
      <c r="E17" s="21">
        <f>INDEX(Data[],MATCH($A17,Data[Dist],0),MATCH(E$6,Data[#Headers],0))</f>
        <v>402293</v>
      </c>
      <c r="F17" s="21">
        <f>INDEX(Data[],MATCH($A17,Data[Dist],0),MATCH(F$6,Data[#Headers],0))</f>
        <v>402294</v>
      </c>
      <c r="G17" s="21">
        <f>INDEX(Data[],MATCH($A17,Data[Dist],0),MATCH(G$6,Data[#Headers],0))</f>
        <v>4030879</v>
      </c>
      <c r="H17" s="21">
        <f>INDEX(Data[],MATCH($A17,Data[Dist],0),MATCH(H$6,Data[#Headers],0))-G17</f>
        <v>0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804586</v>
      </c>
      <c r="L17" s="21">
        <f>INDEX(Notes!$I$2:$N$11,MATCH(Notes!$B$2,Notes!$I$2:$I$11,0),6)*$E17</f>
        <v>1206879</v>
      </c>
      <c r="M17" s="21">
        <f>IF(Notes!$B$2="June",'Payment Total'!$F17,0)</f>
        <v>402294</v>
      </c>
      <c r="N17" s="21">
        <f t="shared" si="0"/>
        <v>0</v>
      </c>
      <c r="P17" s="188" t="s">
        <v>836</v>
      </c>
      <c r="Q17" s="20">
        <v>402294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598543</v>
      </c>
      <c r="E18" s="21">
        <f>INDEX(Data[],MATCH($A18,Data[Dist],0),MATCH(E$6,Data[#Headers],0))</f>
        <v>598542</v>
      </c>
      <c r="F18" s="21">
        <f>INDEX(Data[],MATCH($A18,Data[Dist],0),MATCH(F$6,Data[#Headers],0))</f>
        <v>598543</v>
      </c>
      <c r="G18" s="21">
        <f>INDEX(Data[],MATCH($A18,Data[Dist],0),MATCH(G$6,Data[#Headers],0))</f>
        <v>5998435</v>
      </c>
      <c r="H18" s="21">
        <f>INDEX(Data[],MATCH($A18,Data[Dist],0),MATCH(H$6,Data[#Headers],0))-G18</f>
        <v>0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1197086</v>
      </c>
      <c r="L18" s="21">
        <f>INDEX(Notes!$I$2:$N$11,MATCH(Notes!$B$2,Notes!$I$2:$I$11,0),6)*$E18</f>
        <v>1795626</v>
      </c>
      <c r="M18" s="21">
        <f>IF(Notes!$B$2="June",'Payment Total'!$F18,0)</f>
        <v>598543</v>
      </c>
      <c r="N18" s="21">
        <f t="shared" si="0"/>
        <v>0</v>
      </c>
      <c r="P18" s="188" t="s">
        <v>837</v>
      </c>
      <c r="Q18" s="20">
        <v>598543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2861280</v>
      </c>
      <c r="E19" s="21">
        <f>INDEX(Data[],MATCH($A19,Data[Dist],0),MATCH(E$6,Data[#Headers],0))</f>
        <v>2861280</v>
      </c>
      <c r="F19" s="21">
        <f>INDEX(Data[],MATCH($A19,Data[Dist],0),MATCH(F$6,Data[#Headers],0))</f>
        <v>2861281</v>
      </c>
      <c r="G19" s="21">
        <f>INDEX(Data[],MATCH($A19,Data[Dist],0),MATCH(G$6,Data[#Headers],0))</f>
        <v>28681725</v>
      </c>
      <c r="H19" s="21">
        <f>INDEX(Data[],MATCH($A19,Data[Dist],0),MATCH(H$6,Data[#Headers],0))-G19</f>
        <v>0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5722560</v>
      </c>
      <c r="L19" s="21">
        <f>INDEX(Notes!$I$2:$N$11,MATCH(Notes!$B$2,Notes!$I$2:$I$11,0),6)*$E19</f>
        <v>8583840</v>
      </c>
      <c r="M19" s="21">
        <f>IF(Notes!$B$2="June",'Payment Total'!$F19,0)</f>
        <v>2861281</v>
      </c>
      <c r="N19" s="21">
        <f t="shared" si="0"/>
        <v>0</v>
      </c>
      <c r="P19" s="188" t="s">
        <v>838</v>
      </c>
      <c r="Q19" s="20">
        <v>2861281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959663</v>
      </c>
      <c r="E20" s="21">
        <f>INDEX(Data[],MATCH($A20,Data[Dist],0),MATCH(E$6,Data[#Headers],0))</f>
        <v>959663</v>
      </c>
      <c r="F20" s="21">
        <f>INDEX(Data[],MATCH($A20,Data[Dist],0),MATCH(F$6,Data[#Headers],0))</f>
        <v>959662</v>
      </c>
      <c r="G20" s="21">
        <f>INDEX(Data[],MATCH($A20,Data[Dist],0),MATCH(G$6,Data[#Headers],0))</f>
        <v>9614905</v>
      </c>
      <c r="H20" s="21">
        <f>INDEX(Data[],MATCH($A20,Data[Dist],0),MATCH(H$6,Data[#Headers],0))-G20</f>
        <v>0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1919326</v>
      </c>
      <c r="L20" s="21">
        <f>INDEX(Notes!$I$2:$N$11,MATCH(Notes!$B$2,Notes!$I$2:$I$11,0),6)*$E20</f>
        <v>2878989</v>
      </c>
      <c r="M20" s="21">
        <f>IF(Notes!$B$2="June",'Payment Total'!$F20,0)</f>
        <v>959662</v>
      </c>
      <c r="N20" s="21">
        <f t="shared" si="0"/>
        <v>0</v>
      </c>
      <c r="P20" s="188" t="s">
        <v>839</v>
      </c>
      <c r="Q20" s="20">
        <v>959662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177661</v>
      </c>
      <c r="E21" s="21">
        <f>INDEX(Data[],MATCH($A21,Data[Dist],0),MATCH(E$6,Data[#Headers],0))</f>
        <v>177660</v>
      </c>
      <c r="F21" s="21">
        <f>INDEX(Data[],MATCH($A21,Data[Dist],0),MATCH(F$6,Data[#Headers],0))</f>
        <v>177661</v>
      </c>
      <c r="G21" s="21">
        <f>INDEX(Data[],MATCH($A21,Data[Dist],0),MATCH(G$6,Data[#Headers],0))</f>
        <v>1779907</v>
      </c>
      <c r="H21" s="21">
        <f>INDEX(Data[],MATCH($A21,Data[Dist],0),MATCH(H$6,Data[#Headers],0))-G21</f>
        <v>0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355322</v>
      </c>
      <c r="L21" s="21">
        <f>INDEX(Notes!$I$2:$N$11,MATCH(Notes!$B$2,Notes!$I$2:$I$11,0),6)*$E21</f>
        <v>532980</v>
      </c>
      <c r="M21" s="21">
        <f>IF(Notes!$B$2="June",'Payment Total'!$F21,0)</f>
        <v>177661</v>
      </c>
      <c r="N21" s="21">
        <f t="shared" si="0"/>
        <v>0</v>
      </c>
      <c r="P21" s="188" t="s">
        <v>840</v>
      </c>
      <c r="Q21" s="20">
        <v>177661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9466244</v>
      </c>
      <c r="E22" s="21">
        <f>INDEX(Data[],MATCH($A22,Data[Dist],0),MATCH(E$6,Data[#Headers],0))</f>
        <v>9466244</v>
      </c>
      <c r="F22" s="21">
        <f>INDEX(Data[],MATCH($A22,Data[Dist],0),MATCH(F$6,Data[#Headers],0))</f>
        <v>9466243</v>
      </c>
      <c r="G22" s="21">
        <f>INDEX(Data[],MATCH($A22,Data[Dist],0),MATCH(G$6,Data[#Headers],0))</f>
        <v>94856315</v>
      </c>
      <c r="H22" s="21">
        <f>INDEX(Data[],MATCH($A22,Data[Dist],0),MATCH(H$6,Data[#Headers],0))-G22</f>
        <v>0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18932488</v>
      </c>
      <c r="L22" s="21">
        <f>INDEX(Notes!$I$2:$N$11,MATCH(Notes!$B$2,Notes!$I$2:$I$11,0),6)*$E22</f>
        <v>28398732</v>
      </c>
      <c r="M22" s="21">
        <f>IF(Notes!$B$2="June",'Payment Total'!$F22,0)</f>
        <v>9466243</v>
      </c>
      <c r="N22" s="21">
        <f t="shared" si="0"/>
        <v>0</v>
      </c>
      <c r="P22" s="189" t="s">
        <v>841</v>
      </c>
      <c r="Q22" s="25">
        <v>9466243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662768</v>
      </c>
      <c r="E23" s="21">
        <f>INDEX(Data[],MATCH($A23,Data[Dist],0),MATCH(E$6,Data[#Headers],0))</f>
        <v>662768</v>
      </c>
      <c r="F23" s="21">
        <f>INDEX(Data[],MATCH($A23,Data[Dist],0),MATCH(F$6,Data[#Headers],0))</f>
        <v>662769</v>
      </c>
      <c r="G23" s="21">
        <f>INDEX(Data[],MATCH($A23,Data[Dist],0),MATCH(G$6,Data[#Headers],0))</f>
        <v>6639753</v>
      </c>
      <c r="H23" s="21">
        <f>INDEX(Data[],MATCH($A23,Data[Dist],0),MATCH(H$6,Data[#Headers],0))-G23</f>
        <v>0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1325536</v>
      </c>
      <c r="L23" s="21">
        <f>INDEX(Notes!$I$2:$N$11,MATCH(Notes!$B$2,Notes!$I$2:$I$11,0),6)*$E23</f>
        <v>1988304</v>
      </c>
      <c r="M23" s="21">
        <f>IF(Notes!$B$2="June",'Payment Total'!$F23,0)</f>
        <v>662769</v>
      </c>
      <c r="N23" s="21">
        <f t="shared" si="0"/>
        <v>0</v>
      </c>
      <c r="P23" s="189" t="s">
        <v>842</v>
      </c>
      <c r="Q23" s="25">
        <v>662769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203020</v>
      </c>
      <c r="E24" s="21">
        <f>INDEX(Data[],MATCH($A24,Data[Dist],0),MATCH(E$6,Data[#Headers],0))</f>
        <v>203019</v>
      </c>
      <c r="F24" s="21">
        <f>INDEX(Data[],MATCH($A24,Data[Dist],0),MATCH(F$6,Data[#Headers],0))</f>
        <v>203020</v>
      </c>
      <c r="G24" s="21">
        <f>INDEX(Data[],MATCH($A24,Data[Dist],0),MATCH(G$6,Data[#Headers],0))</f>
        <v>2036141</v>
      </c>
      <c r="H24" s="21">
        <f>INDEX(Data[],MATCH($A24,Data[Dist],0),MATCH(H$6,Data[#Headers],0))-G24</f>
        <v>0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406040</v>
      </c>
      <c r="L24" s="21">
        <f>INDEX(Notes!$I$2:$N$11,MATCH(Notes!$B$2,Notes!$I$2:$I$11,0),6)*$E24</f>
        <v>609057</v>
      </c>
      <c r="M24" s="21">
        <f>IF(Notes!$B$2="June",'Payment Total'!$F24,0)</f>
        <v>203020</v>
      </c>
      <c r="N24" s="21">
        <f t="shared" si="0"/>
        <v>0</v>
      </c>
      <c r="P24" s="189" t="s">
        <v>843</v>
      </c>
      <c r="Q24" s="25">
        <v>203020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161882</v>
      </c>
      <c r="E25" s="21">
        <f>INDEX(Data[],MATCH($A25,Data[Dist],0),MATCH(E$6,Data[#Headers],0))</f>
        <v>161882</v>
      </c>
      <c r="F25" s="21">
        <f>INDEX(Data[],MATCH($A25,Data[Dist],0),MATCH(F$6,Data[#Headers],0))</f>
        <v>161881</v>
      </c>
      <c r="G25" s="21">
        <f>INDEX(Data[],MATCH($A25,Data[Dist],0),MATCH(G$6,Data[#Headers],0))</f>
        <v>1623103</v>
      </c>
      <c r="H25" s="21">
        <f>INDEX(Data[],MATCH($A25,Data[Dist],0),MATCH(H$6,Data[#Headers],0))-G25</f>
        <v>0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323764</v>
      </c>
      <c r="L25" s="21">
        <f>INDEX(Notes!$I$2:$N$11,MATCH(Notes!$B$2,Notes!$I$2:$I$11,0),6)*$E25</f>
        <v>485646</v>
      </c>
      <c r="M25" s="21">
        <f>IF(Notes!$B$2="June",'Payment Total'!$F25,0)</f>
        <v>161881</v>
      </c>
      <c r="N25" s="21">
        <f t="shared" si="0"/>
        <v>0</v>
      </c>
      <c r="P25" s="189" t="s">
        <v>844</v>
      </c>
      <c r="Q25" s="25">
        <v>161881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1261950</v>
      </c>
      <c r="E26" s="21">
        <f>INDEX(Data[],MATCH($A26,Data[Dist],0),MATCH(E$6,Data[#Headers],0))</f>
        <v>1261950</v>
      </c>
      <c r="F26" s="21">
        <f>INDEX(Data[],MATCH($A26,Data[Dist],0),MATCH(F$6,Data[#Headers],0))</f>
        <v>1261950</v>
      </c>
      <c r="G26" s="21">
        <f>INDEX(Data[],MATCH($A26,Data[Dist],0),MATCH(G$6,Data[#Headers],0))</f>
        <v>12641580</v>
      </c>
      <c r="H26" s="21">
        <f>INDEX(Data[],MATCH($A26,Data[Dist],0),MATCH(H$6,Data[#Headers],0))-G26</f>
        <v>0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2523900</v>
      </c>
      <c r="L26" s="21">
        <f>INDEX(Notes!$I$2:$N$11,MATCH(Notes!$B$2,Notes!$I$2:$I$11,0),6)*$E26</f>
        <v>3785850</v>
      </c>
      <c r="M26" s="21">
        <f>IF(Notes!$B$2="June",'Payment Total'!$F26,0)</f>
        <v>1261950</v>
      </c>
      <c r="N26" s="21">
        <f t="shared" si="0"/>
        <v>0</v>
      </c>
      <c r="P26" s="189" t="s">
        <v>845</v>
      </c>
      <c r="Q26" s="25">
        <v>1261950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338311</v>
      </c>
      <c r="E27" s="21">
        <f>INDEX(Data[],MATCH($A27,Data[Dist],0),MATCH(E$6,Data[#Headers],0))</f>
        <v>338311</v>
      </c>
      <c r="F27" s="21">
        <f>INDEX(Data[],MATCH($A27,Data[Dist],0),MATCH(F$6,Data[#Headers],0))</f>
        <v>338310</v>
      </c>
      <c r="G27" s="21">
        <f>INDEX(Data[],MATCH($A27,Data[Dist],0),MATCH(G$6,Data[#Headers],0))</f>
        <v>3390625</v>
      </c>
      <c r="H27" s="21">
        <f>INDEX(Data[],MATCH($A27,Data[Dist],0),MATCH(H$6,Data[#Headers],0))-G27</f>
        <v>0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676622</v>
      </c>
      <c r="L27" s="21">
        <f>INDEX(Notes!$I$2:$N$11,MATCH(Notes!$B$2,Notes!$I$2:$I$11,0),6)*$E27</f>
        <v>1014933</v>
      </c>
      <c r="M27" s="21">
        <f>IF(Notes!$B$2="June",'Payment Total'!$F27,0)</f>
        <v>338310</v>
      </c>
      <c r="N27" s="21">
        <f t="shared" si="0"/>
        <v>0</v>
      </c>
      <c r="P27" s="189" t="s">
        <v>846</v>
      </c>
      <c r="Q27" s="25">
        <v>338310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497914</v>
      </c>
      <c r="E28" s="21">
        <f>INDEX(Data[],MATCH($A28,Data[Dist],0),MATCH(E$6,Data[#Headers],0))</f>
        <v>497914</v>
      </c>
      <c r="F28" s="21">
        <f>INDEX(Data[],MATCH($A28,Data[Dist],0),MATCH(F$6,Data[#Headers],0))</f>
        <v>497912</v>
      </c>
      <c r="G28" s="21">
        <f>INDEX(Data[],MATCH($A28,Data[Dist],0),MATCH(G$6,Data[#Headers],0))</f>
        <v>4991118</v>
      </c>
      <c r="H28" s="21">
        <f>INDEX(Data[],MATCH($A28,Data[Dist],0),MATCH(H$6,Data[#Headers],0))-G28</f>
        <v>0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995828</v>
      </c>
      <c r="L28" s="21">
        <f>INDEX(Notes!$I$2:$N$11,MATCH(Notes!$B$2,Notes!$I$2:$I$11,0),6)*$E28</f>
        <v>1493742</v>
      </c>
      <c r="M28" s="21">
        <f>IF(Notes!$B$2="June",'Payment Total'!$F28,0)</f>
        <v>497912</v>
      </c>
      <c r="N28" s="21">
        <f t="shared" si="0"/>
        <v>0</v>
      </c>
      <c r="P28" s="189" t="s">
        <v>847</v>
      </c>
      <c r="Q28" s="25">
        <v>497912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1480965</v>
      </c>
      <c r="E29" s="21">
        <f>INDEX(Data[],MATCH($A29,Data[Dist],0),MATCH(E$6,Data[#Headers],0))</f>
        <v>1480965</v>
      </c>
      <c r="F29" s="21">
        <f>INDEX(Data[],MATCH($A29,Data[Dist],0),MATCH(F$6,Data[#Headers],0))</f>
        <v>1480963</v>
      </c>
      <c r="G29" s="21">
        <f>INDEX(Data[],MATCH($A29,Data[Dist],0),MATCH(G$6,Data[#Headers],0))</f>
        <v>14836512</v>
      </c>
      <c r="H29" s="21">
        <f>INDEX(Data[],MATCH($A29,Data[Dist],0),MATCH(H$6,Data[#Headers],0))-G29</f>
        <v>0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2961930</v>
      </c>
      <c r="L29" s="21">
        <f>INDEX(Notes!$I$2:$N$11,MATCH(Notes!$B$2,Notes!$I$2:$I$11,0),6)*$E29</f>
        <v>4442895</v>
      </c>
      <c r="M29" s="21">
        <f>IF(Notes!$B$2="June",'Payment Total'!$F29,0)</f>
        <v>1480963</v>
      </c>
      <c r="N29" s="21">
        <f t="shared" si="0"/>
        <v>0</v>
      </c>
      <c r="P29" s="189" t="s">
        <v>848</v>
      </c>
      <c r="Q29" s="25">
        <v>1480963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316105</v>
      </c>
      <c r="E30" s="21">
        <f>INDEX(Data[],MATCH($A30,Data[Dist],0),MATCH(E$6,Data[#Headers],0))</f>
        <v>316105</v>
      </c>
      <c r="F30" s="21">
        <f>INDEX(Data[],MATCH($A30,Data[Dist],0),MATCH(F$6,Data[#Headers],0))</f>
        <v>316105</v>
      </c>
      <c r="G30" s="21">
        <f>INDEX(Data[],MATCH($A30,Data[Dist],0),MATCH(G$6,Data[#Headers],0))</f>
        <v>3166238</v>
      </c>
      <c r="H30" s="21">
        <f>INDEX(Data[],MATCH($A30,Data[Dist],0),MATCH(H$6,Data[#Headers],0))-G30</f>
        <v>0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632210</v>
      </c>
      <c r="L30" s="21">
        <f>INDEX(Notes!$I$2:$N$11,MATCH(Notes!$B$2,Notes!$I$2:$I$11,0),6)*$E30</f>
        <v>948315</v>
      </c>
      <c r="M30" s="21">
        <f>IF(Notes!$B$2="June",'Payment Total'!$F30,0)</f>
        <v>316105</v>
      </c>
      <c r="N30" s="21">
        <f t="shared" si="0"/>
        <v>0</v>
      </c>
      <c r="P30" s="189" t="s">
        <v>849</v>
      </c>
      <c r="Q30" s="25">
        <v>316105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295080</v>
      </c>
      <c r="E31" s="21">
        <f>INDEX(Data[],MATCH($A31,Data[Dist],0),MATCH(E$6,Data[#Headers],0))</f>
        <v>295080</v>
      </c>
      <c r="F31" s="21">
        <f>INDEX(Data[],MATCH($A31,Data[Dist],0),MATCH(F$6,Data[#Headers],0))</f>
        <v>295080</v>
      </c>
      <c r="G31" s="21">
        <f>INDEX(Data[],MATCH($A31,Data[Dist],0),MATCH(G$6,Data[#Headers],0))</f>
        <v>2957532</v>
      </c>
      <c r="H31" s="21">
        <f>INDEX(Data[],MATCH($A31,Data[Dist],0),MATCH(H$6,Data[#Headers],0))-G31</f>
        <v>0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590160</v>
      </c>
      <c r="L31" s="21">
        <f>INDEX(Notes!$I$2:$N$11,MATCH(Notes!$B$2,Notes!$I$2:$I$11,0),6)*$E31</f>
        <v>885240</v>
      </c>
      <c r="M31" s="21">
        <f>IF(Notes!$B$2="June",'Payment Total'!$F31,0)</f>
        <v>295080</v>
      </c>
      <c r="N31" s="21">
        <f t="shared" si="0"/>
        <v>0</v>
      </c>
      <c r="P31" s="189" t="s">
        <v>850</v>
      </c>
      <c r="Q31" s="25">
        <v>295080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368281</v>
      </c>
      <c r="E32" s="21">
        <f>INDEX(Data[],MATCH($A32,Data[Dist],0),MATCH(E$6,Data[#Headers],0))</f>
        <v>368281</v>
      </c>
      <c r="F32" s="21">
        <f>INDEX(Data[],MATCH($A32,Data[Dist],0),MATCH(F$6,Data[#Headers],0))</f>
        <v>368279</v>
      </c>
      <c r="G32" s="21">
        <f>INDEX(Data[],MATCH($A32,Data[Dist],0),MATCH(G$6,Data[#Headers],0))</f>
        <v>3690388</v>
      </c>
      <c r="H32" s="21">
        <f>INDEX(Data[],MATCH($A32,Data[Dist],0),MATCH(H$6,Data[#Headers],0))-G32</f>
        <v>0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736562</v>
      </c>
      <c r="L32" s="21">
        <f>INDEX(Notes!$I$2:$N$11,MATCH(Notes!$B$2,Notes!$I$2:$I$11,0),6)*$E32</f>
        <v>1104843</v>
      </c>
      <c r="M32" s="21">
        <f>IF(Notes!$B$2="June",'Payment Total'!$F32,0)</f>
        <v>368279</v>
      </c>
      <c r="N32" s="21">
        <f t="shared" si="0"/>
        <v>0</v>
      </c>
      <c r="P32" s="189" t="s">
        <v>851</v>
      </c>
      <c r="Q32" s="25">
        <v>368279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405113</v>
      </c>
      <c r="E33" s="21">
        <f>INDEX(Data[],MATCH($A33,Data[Dist],0),MATCH(E$6,Data[#Headers],0))</f>
        <v>405114</v>
      </c>
      <c r="F33" s="21">
        <f>INDEX(Data[],MATCH($A33,Data[Dist],0),MATCH(F$6,Data[#Headers],0))</f>
        <v>405112</v>
      </c>
      <c r="G33" s="21">
        <f>INDEX(Data[],MATCH($A33,Data[Dist],0),MATCH(G$6,Data[#Headers],0))</f>
        <v>4058228</v>
      </c>
      <c r="H33" s="21">
        <f>INDEX(Data[],MATCH($A33,Data[Dist],0),MATCH(H$6,Data[#Headers],0))-G33</f>
        <v>0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810226</v>
      </c>
      <c r="L33" s="21">
        <f>INDEX(Notes!$I$2:$N$11,MATCH(Notes!$B$2,Notes!$I$2:$I$11,0),6)*$E33</f>
        <v>1215342</v>
      </c>
      <c r="M33" s="21">
        <f>IF(Notes!$B$2="June",'Payment Total'!$F33,0)</f>
        <v>405112</v>
      </c>
      <c r="N33" s="21">
        <f t="shared" si="0"/>
        <v>0</v>
      </c>
      <c r="P33" s="189" t="s">
        <v>852</v>
      </c>
      <c r="Q33" s="25">
        <v>405112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443840</v>
      </c>
      <c r="E34" s="21">
        <f>INDEX(Data[],MATCH($A34,Data[Dist],0),MATCH(E$6,Data[#Headers],0))</f>
        <v>443841</v>
      </c>
      <c r="F34" s="21">
        <f>INDEX(Data[],MATCH($A34,Data[Dist],0),MATCH(F$6,Data[#Headers],0))</f>
        <v>443839</v>
      </c>
      <c r="G34" s="21">
        <f>INDEX(Data[],MATCH($A34,Data[Dist],0),MATCH(G$6,Data[#Headers],0))</f>
        <v>4447578</v>
      </c>
      <c r="H34" s="21">
        <f>INDEX(Data[],MATCH($A34,Data[Dist],0),MATCH(H$6,Data[#Headers],0))-G34</f>
        <v>0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887680</v>
      </c>
      <c r="L34" s="21">
        <f>INDEX(Notes!$I$2:$N$11,MATCH(Notes!$B$2,Notes!$I$2:$I$11,0),6)*$E34</f>
        <v>1331523</v>
      </c>
      <c r="M34" s="21">
        <f>IF(Notes!$B$2="June",'Payment Total'!$F34,0)</f>
        <v>443839</v>
      </c>
      <c r="N34" s="21">
        <f t="shared" si="0"/>
        <v>0</v>
      </c>
      <c r="P34" s="189" t="s">
        <v>853</v>
      </c>
      <c r="Q34" s="25">
        <v>443839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544659</v>
      </c>
      <c r="E35" s="21">
        <f>INDEX(Data[],MATCH($A35,Data[Dist],0),MATCH(E$6,Data[#Headers],0))</f>
        <v>544659</v>
      </c>
      <c r="F35" s="21">
        <f>INDEX(Data[],MATCH($A35,Data[Dist],0),MATCH(F$6,Data[#Headers],0))</f>
        <v>544658</v>
      </c>
      <c r="G35" s="21">
        <f>INDEX(Data[],MATCH($A35,Data[Dist],0),MATCH(G$6,Data[#Headers],0))</f>
        <v>5457309</v>
      </c>
      <c r="H35" s="21">
        <f>INDEX(Data[],MATCH($A35,Data[Dist],0),MATCH(H$6,Data[#Headers],0))-G35</f>
        <v>0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1089318</v>
      </c>
      <c r="L35" s="21">
        <f>INDEX(Notes!$I$2:$N$11,MATCH(Notes!$B$2,Notes!$I$2:$I$11,0),6)*$E35</f>
        <v>1633977</v>
      </c>
      <c r="M35" s="21">
        <f>IF(Notes!$B$2="June",'Payment Total'!$F35,0)</f>
        <v>544658</v>
      </c>
      <c r="N35" s="21">
        <f t="shared" si="0"/>
        <v>0</v>
      </c>
      <c r="P35" s="189" t="s">
        <v>854</v>
      </c>
      <c r="Q35" s="25">
        <v>544658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118435</v>
      </c>
      <c r="E36" s="21">
        <f>INDEX(Data[],MATCH($A36,Data[Dist],0),MATCH(E$6,Data[#Headers],0))</f>
        <v>118435</v>
      </c>
      <c r="F36" s="21">
        <f>INDEX(Data[],MATCH($A36,Data[Dist],0),MATCH(F$6,Data[#Headers],0))</f>
        <v>118434</v>
      </c>
      <c r="G36" s="21">
        <f>INDEX(Data[],MATCH($A36,Data[Dist],0),MATCH(G$6,Data[#Headers],0))</f>
        <v>1186861</v>
      </c>
      <c r="H36" s="21">
        <f>INDEX(Data[],MATCH($A36,Data[Dist],0),MATCH(H$6,Data[#Headers],0))-G36</f>
        <v>0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236870</v>
      </c>
      <c r="L36" s="21">
        <f>INDEX(Notes!$I$2:$N$11,MATCH(Notes!$B$2,Notes!$I$2:$I$11,0),6)*$E36</f>
        <v>355305</v>
      </c>
      <c r="M36" s="21">
        <f>IF(Notes!$B$2="June",'Payment Total'!$F36,0)</f>
        <v>118434</v>
      </c>
      <c r="N36" s="21">
        <f t="shared" si="0"/>
        <v>0</v>
      </c>
      <c r="P36" s="189" t="s">
        <v>855</v>
      </c>
      <c r="Q36" s="25">
        <v>118434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1030246</v>
      </c>
      <c r="E37" s="21">
        <f>INDEX(Data[],MATCH($A37,Data[Dist],0),MATCH(E$6,Data[#Headers],0))</f>
        <v>1030246</v>
      </c>
      <c r="F37" s="21">
        <f>INDEX(Data[],MATCH($A37,Data[Dist],0),MATCH(F$6,Data[#Headers],0))</f>
        <v>1030244</v>
      </c>
      <c r="G37" s="21">
        <f>INDEX(Data[],MATCH($A37,Data[Dist],0),MATCH(G$6,Data[#Headers],0))</f>
        <v>10324890</v>
      </c>
      <c r="H37" s="21">
        <f>INDEX(Data[],MATCH($A37,Data[Dist],0),MATCH(H$6,Data[#Headers],0))-G37</f>
        <v>0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2060492</v>
      </c>
      <c r="L37" s="21">
        <f>INDEX(Notes!$I$2:$N$11,MATCH(Notes!$B$2,Notes!$I$2:$I$11,0),6)*$E37</f>
        <v>3090738</v>
      </c>
      <c r="M37" s="21">
        <f>IF(Notes!$B$2="June",'Payment Total'!$F37,0)</f>
        <v>1030244</v>
      </c>
      <c r="N37" s="21">
        <f t="shared" si="0"/>
        <v>0</v>
      </c>
      <c r="P37" s="189" t="s">
        <v>856</v>
      </c>
      <c r="Q37" s="25">
        <v>1030244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2911192</v>
      </c>
      <c r="E38" s="21">
        <f>INDEX(Data[],MATCH($A38,Data[Dist],0),MATCH(E$6,Data[#Headers],0))</f>
        <v>2911191</v>
      </c>
      <c r="F38" s="21">
        <f>INDEX(Data[],MATCH($A38,Data[Dist],0),MATCH(F$6,Data[#Headers],0))</f>
        <v>2911192</v>
      </c>
      <c r="G38" s="21">
        <f>INDEX(Data[],MATCH($A38,Data[Dist],0),MATCH(G$6,Data[#Headers],0))</f>
        <v>29170069</v>
      </c>
      <c r="H38" s="21">
        <f>INDEX(Data[],MATCH($A38,Data[Dist],0),MATCH(H$6,Data[#Headers],0))-G38</f>
        <v>0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5822384</v>
      </c>
      <c r="L38" s="21">
        <f>INDEX(Notes!$I$2:$N$11,MATCH(Notes!$B$2,Notes!$I$2:$I$11,0),6)*$E38</f>
        <v>8733573</v>
      </c>
      <c r="M38" s="21">
        <f>IF(Notes!$B$2="June",'Payment Total'!$F38,0)</f>
        <v>2911192</v>
      </c>
      <c r="N38" s="21">
        <f t="shared" si="0"/>
        <v>0</v>
      </c>
      <c r="P38" s="189" t="s">
        <v>857</v>
      </c>
      <c r="Q38" s="25">
        <v>2911192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525081</v>
      </c>
      <c r="E39" s="21">
        <f>INDEX(Data[],MATCH($A39,Data[Dist],0),MATCH(E$6,Data[#Headers],0))</f>
        <v>525081</v>
      </c>
      <c r="F39" s="21">
        <f>INDEX(Data[],MATCH($A39,Data[Dist],0),MATCH(F$6,Data[#Headers],0))</f>
        <v>525082</v>
      </c>
      <c r="G39" s="21">
        <f>INDEX(Data[],MATCH($A39,Data[Dist],0),MATCH(G$6,Data[#Headers],0))</f>
        <v>5262807</v>
      </c>
      <c r="H39" s="21">
        <f>INDEX(Data[],MATCH($A39,Data[Dist],0),MATCH(H$6,Data[#Headers],0))-G39</f>
        <v>0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1050162</v>
      </c>
      <c r="L39" s="21">
        <f>INDEX(Notes!$I$2:$N$11,MATCH(Notes!$B$2,Notes!$I$2:$I$11,0),6)*$E39</f>
        <v>1575243</v>
      </c>
      <c r="M39" s="21">
        <f>IF(Notes!$B$2="June",'Payment Total'!$F39,0)</f>
        <v>525082</v>
      </c>
      <c r="N39" s="21">
        <f t="shared" si="0"/>
        <v>0</v>
      </c>
      <c r="P39" s="189" t="s">
        <v>858</v>
      </c>
      <c r="Q39" s="25">
        <v>525082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2175793</v>
      </c>
      <c r="E40" s="21">
        <f>INDEX(Data[],MATCH($A40,Data[Dist],0),MATCH(E$6,Data[#Headers],0))</f>
        <v>2175794</v>
      </c>
      <c r="F40" s="21">
        <f>INDEX(Data[],MATCH($A40,Data[Dist],0),MATCH(F$6,Data[#Headers],0))</f>
        <v>2175792</v>
      </c>
      <c r="G40" s="21">
        <f>INDEX(Data[],MATCH($A40,Data[Dist],0),MATCH(G$6,Data[#Headers],0))</f>
        <v>21798404</v>
      </c>
      <c r="H40" s="21">
        <f>INDEX(Data[],MATCH($A40,Data[Dist],0),MATCH(H$6,Data[#Headers],0))-G40</f>
        <v>0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4351586</v>
      </c>
      <c r="L40" s="21">
        <f>INDEX(Notes!$I$2:$N$11,MATCH(Notes!$B$2,Notes!$I$2:$I$11,0),6)*$E40</f>
        <v>6527382</v>
      </c>
      <c r="M40" s="21">
        <f>IF(Notes!$B$2="June",'Payment Total'!$F40,0)</f>
        <v>2175792</v>
      </c>
      <c r="N40" s="21">
        <f t="shared" si="0"/>
        <v>0</v>
      </c>
      <c r="P40" s="189" t="s">
        <v>859</v>
      </c>
      <c r="Q40" s="25">
        <v>2175792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1745014</v>
      </c>
      <c r="E41" s="21">
        <f>INDEX(Data[],MATCH($A41,Data[Dist],0),MATCH(E$6,Data[#Headers],0))</f>
        <v>1745014</v>
      </c>
      <c r="F41" s="21">
        <f>INDEX(Data[],MATCH($A41,Data[Dist],0),MATCH(F$6,Data[#Headers],0))</f>
        <v>1745012</v>
      </c>
      <c r="G41" s="21">
        <f>INDEX(Data[],MATCH($A41,Data[Dist],0),MATCH(G$6,Data[#Headers],0))</f>
        <v>17480298</v>
      </c>
      <c r="H41" s="21">
        <f>INDEX(Data[],MATCH($A41,Data[Dist],0),MATCH(H$6,Data[#Headers],0))-G41</f>
        <v>0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3490028</v>
      </c>
      <c r="L41" s="21">
        <f>INDEX(Notes!$I$2:$N$11,MATCH(Notes!$B$2,Notes!$I$2:$I$11,0),6)*$E41</f>
        <v>5235042</v>
      </c>
      <c r="M41" s="21">
        <f>IF(Notes!$B$2="June",'Payment Total'!$F41,0)</f>
        <v>1745012</v>
      </c>
      <c r="N41" s="21">
        <f t="shared" si="0"/>
        <v>0</v>
      </c>
      <c r="P41" s="189" t="s">
        <v>860</v>
      </c>
      <c r="Q41" s="25">
        <v>1745012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468974</v>
      </c>
      <c r="E42" s="21">
        <f>INDEX(Data[],MATCH($A42,Data[Dist],0),MATCH(E$6,Data[#Headers],0))</f>
        <v>468973</v>
      </c>
      <c r="F42" s="21">
        <f>INDEX(Data[],MATCH($A42,Data[Dist],0),MATCH(F$6,Data[#Headers],0))</f>
        <v>468974</v>
      </c>
      <c r="G42" s="21">
        <f>INDEX(Data[],MATCH($A42,Data[Dist],0),MATCH(G$6,Data[#Headers],0))</f>
        <v>4698045</v>
      </c>
      <c r="H42" s="21">
        <f>INDEX(Data[],MATCH($A42,Data[Dist],0),MATCH(H$6,Data[#Headers],0))-G42</f>
        <v>0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937948</v>
      </c>
      <c r="L42" s="21">
        <f>INDEX(Notes!$I$2:$N$11,MATCH(Notes!$B$2,Notes!$I$2:$I$11,0),6)*$E42</f>
        <v>1406919</v>
      </c>
      <c r="M42" s="21">
        <f>IF(Notes!$B$2="June",'Payment Total'!$F42,0)</f>
        <v>468974</v>
      </c>
      <c r="N42" s="21">
        <f t="shared" si="0"/>
        <v>0</v>
      </c>
      <c r="P42" s="189" t="s">
        <v>861</v>
      </c>
      <c r="Q42" s="25">
        <v>468974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403270</v>
      </c>
      <c r="E43" s="21">
        <f>INDEX(Data[],MATCH($A43,Data[Dist],0),MATCH(E$6,Data[#Headers],0))</f>
        <v>403270</v>
      </c>
      <c r="F43" s="21">
        <f>INDEX(Data[],MATCH($A43,Data[Dist],0),MATCH(F$6,Data[#Headers],0))</f>
        <v>403269</v>
      </c>
      <c r="G43" s="21">
        <f>INDEX(Data[],MATCH($A43,Data[Dist],0),MATCH(G$6,Data[#Headers],0))</f>
        <v>4041639</v>
      </c>
      <c r="H43" s="21">
        <f>INDEX(Data[],MATCH($A43,Data[Dist],0),MATCH(H$6,Data[#Headers],0))-G43</f>
        <v>0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806540</v>
      </c>
      <c r="L43" s="21">
        <f>INDEX(Notes!$I$2:$N$11,MATCH(Notes!$B$2,Notes!$I$2:$I$11,0),6)*$E43</f>
        <v>1209810</v>
      </c>
      <c r="M43" s="21">
        <f>IF(Notes!$B$2="June",'Payment Total'!$F43,0)</f>
        <v>403269</v>
      </c>
      <c r="N43" s="21">
        <f t="shared" si="0"/>
        <v>0</v>
      </c>
      <c r="P43" s="189" t="s">
        <v>862</v>
      </c>
      <c r="Q43" s="25">
        <v>403269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390291</v>
      </c>
      <c r="E44" s="21">
        <f>INDEX(Data[],MATCH($A44,Data[Dist],0),MATCH(E$6,Data[#Headers],0))</f>
        <v>390291</v>
      </c>
      <c r="F44" s="21">
        <f>INDEX(Data[],MATCH($A44,Data[Dist],0),MATCH(F$6,Data[#Headers],0))</f>
        <v>390289</v>
      </c>
      <c r="G44" s="21">
        <f>INDEX(Data[],MATCH($A44,Data[Dist],0),MATCH(G$6,Data[#Headers],0))</f>
        <v>3910788</v>
      </c>
      <c r="H44" s="21">
        <f>INDEX(Data[],MATCH($A44,Data[Dist],0),MATCH(H$6,Data[#Headers],0))-G44</f>
        <v>0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780582</v>
      </c>
      <c r="L44" s="21">
        <f>INDEX(Notes!$I$2:$N$11,MATCH(Notes!$B$2,Notes!$I$2:$I$11,0),6)*$E44</f>
        <v>1170873</v>
      </c>
      <c r="M44" s="21">
        <f>IF(Notes!$B$2="June",'Payment Total'!$F44,0)</f>
        <v>390289</v>
      </c>
      <c r="N44" s="21">
        <f t="shared" si="0"/>
        <v>0</v>
      </c>
      <c r="P44" s="189" t="s">
        <v>863</v>
      </c>
      <c r="Q44" s="25">
        <v>390289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263445</v>
      </c>
      <c r="E45" s="21">
        <f>INDEX(Data[],MATCH($A45,Data[Dist],0),MATCH(E$6,Data[#Headers],0))</f>
        <v>263445</v>
      </c>
      <c r="F45" s="21">
        <f>INDEX(Data[],MATCH($A45,Data[Dist],0),MATCH(F$6,Data[#Headers],0))</f>
        <v>263445</v>
      </c>
      <c r="G45" s="21">
        <f>INDEX(Data[],MATCH($A45,Data[Dist],0),MATCH(G$6,Data[#Headers],0))</f>
        <v>2641378</v>
      </c>
      <c r="H45" s="21">
        <f>INDEX(Data[],MATCH($A45,Data[Dist],0),MATCH(H$6,Data[#Headers],0))-G45</f>
        <v>0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526890</v>
      </c>
      <c r="L45" s="21">
        <f>INDEX(Notes!$I$2:$N$11,MATCH(Notes!$B$2,Notes!$I$2:$I$11,0),6)*$E45</f>
        <v>790335</v>
      </c>
      <c r="M45" s="21">
        <f>IF(Notes!$B$2="June",'Payment Total'!$F45,0)</f>
        <v>263445</v>
      </c>
      <c r="N45" s="21">
        <f t="shared" si="0"/>
        <v>0</v>
      </c>
      <c r="P45" s="189" t="s">
        <v>864</v>
      </c>
      <c r="Q45" s="25">
        <v>263445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3697210</v>
      </c>
      <c r="E46" s="21">
        <f>INDEX(Data[],MATCH($A46,Data[Dist],0),MATCH(E$6,Data[#Headers],0))</f>
        <v>3697210</v>
      </c>
      <c r="F46" s="21">
        <f>INDEX(Data[],MATCH($A46,Data[Dist],0),MATCH(F$6,Data[#Headers],0))</f>
        <v>3697208</v>
      </c>
      <c r="G46" s="21">
        <f>INDEX(Data[],MATCH($A46,Data[Dist],0),MATCH(G$6,Data[#Headers],0))</f>
        <v>37027934</v>
      </c>
      <c r="H46" s="21">
        <f>INDEX(Data[],MATCH($A46,Data[Dist],0),MATCH(H$6,Data[#Headers],0))-G46</f>
        <v>0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7394420</v>
      </c>
      <c r="L46" s="21">
        <f>INDEX(Notes!$I$2:$N$11,MATCH(Notes!$B$2,Notes!$I$2:$I$11,0),6)*$E46</f>
        <v>11091630</v>
      </c>
      <c r="M46" s="21">
        <f>IF(Notes!$B$2="June",'Payment Total'!$F46,0)</f>
        <v>3697208</v>
      </c>
      <c r="N46" s="21">
        <f t="shared" si="0"/>
        <v>0</v>
      </c>
      <c r="P46" s="189" t="s">
        <v>865</v>
      </c>
      <c r="Q46" s="25">
        <v>3697208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219135</v>
      </c>
      <c r="E47" s="21">
        <f>INDEX(Data[],MATCH($A47,Data[Dist],0),MATCH(E$6,Data[#Headers],0))</f>
        <v>219135</v>
      </c>
      <c r="F47" s="21">
        <f>INDEX(Data[],MATCH($A47,Data[Dist],0),MATCH(F$6,Data[#Headers],0))</f>
        <v>219136</v>
      </c>
      <c r="G47" s="21">
        <f>INDEX(Data[],MATCH($A47,Data[Dist],0),MATCH(G$6,Data[#Headers],0))</f>
        <v>2197727</v>
      </c>
      <c r="H47" s="21">
        <f>INDEX(Data[],MATCH($A47,Data[Dist],0),MATCH(H$6,Data[#Headers],0))-G47</f>
        <v>0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438270</v>
      </c>
      <c r="L47" s="21">
        <f>INDEX(Notes!$I$2:$N$11,MATCH(Notes!$B$2,Notes!$I$2:$I$11,0),6)*$E47</f>
        <v>657405</v>
      </c>
      <c r="M47" s="21">
        <f>IF(Notes!$B$2="June",'Payment Total'!$F47,0)</f>
        <v>219136</v>
      </c>
      <c r="N47" s="21">
        <f t="shared" si="0"/>
        <v>0</v>
      </c>
      <c r="P47" s="189" t="s">
        <v>866</v>
      </c>
      <c r="Q47" s="25">
        <v>219136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220386</v>
      </c>
      <c r="E48" s="21">
        <f>INDEX(Data[],MATCH($A48,Data[Dist],0),MATCH(E$6,Data[#Headers],0))</f>
        <v>220386</v>
      </c>
      <c r="F48" s="21">
        <f>INDEX(Data[],MATCH($A48,Data[Dist],0),MATCH(F$6,Data[#Headers],0))</f>
        <v>220387</v>
      </c>
      <c r="G48" s="21">
        <f>INDEX(Data[],MATCH($A48,Data[Dist],0),MATCH(G$6,Data[#Headers],0))</f>
        <v>2208073</v>
      </c>
      <c r="H48" s="21">
        <f>INDEX(Data[],MATCH($A48,Data[Dist],0),MATCH(H$6,Data[#Headers],0))-G48</f>
        <v>0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440772</v>
      </c>
      <c r="L48" s="21">
        <f>INDEX(Notes!$I$2:$N$11,MATCH(Notes!$B$2,Notes!$I$2:$I$11,0),6)*$E48</f>
        <v>661158</v>
      </c>
      <c r="M48" s="21">
        <f>IF(Notes!$B$2="June",'Payment Total'!$F48,0)</f>
        <v>220387</v>
      </c>
      <c r="N48" s="21">
        <f t="shared" si="0"/>
        <v>0</v>
      </c>
      <c r="P48" s="189" t="s">
        <v>867</v>
      </c>
      <c r="Q48" s="25">
        <v>220387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283250</v>
      </c>
      <c r="E49" s="21">
        <f>INDEX(Data[],MATCH($A49,Data[Dist],0),MATCH(E$6,Data[#Headers],0))</f>
        <v>283250</v>
      </c>
      <c r="F49" s="21">
        <f>INDEX(Data[],MATCH($A49,Data[Dist],0),MATCH(F$6,Data[#Headers],0))</f>
        <v>283248</v>
      </c>
      <c r="G49" s="21">
        <f>INDEX(Data[],MATCH($A49,Data[Dist],0),MATCH(G$6,Data[#Headers],0))</f>
        <v>2837830</v>
      </c>
      <c r="H49" s="21">
        <f>INDEX(Data[],MATCH($A49,Data[Dist],0),MATCH(H$6,Data[#Headers],0))-G49</f>
        <v>0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566500</v>
      </c>
      <c r="L49" s="21">
        <f>INDEX(Notes!$I$2:$N$11,MATCH(Notes!$B$2,Notes!$I$2:$I$11,0),6)*$E49</f>
        <v>849750</v>
      </c>
      <c r="M49" s="21">
        <f>IF(Notes!$B$2="June",'Payment Total'!$F49,0)</f>
        <v>283248</v>
      </c>
      <c r="N49" s="21">
        <f t="shared" si="0"/>
        <v>0</v>
      </c>
      <c r="P49" s="189" t="s">
        <v>868</v>
      </c>
      <c r="Q49" s="25">
        <v>283248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662395</v>
      </c>
      <c r="E50" s="21">
        <f>INDEX(Data[],MATCH($A50,Data[Dist],0),MATCH(E$6,Data[#Headers],0))</f>
        <v>662396</v>
      </c>
      <c r="F50" s="21">
        <f>INDEX(Data[],MATCH($A50,Data[Dist],0),MATCH(F$6,Data[#Headers],0))</f>
        <v>662394</v>
      </c>
      <c r="G50" s="21">
        <f>INDEX(Data[],MATCH($A50,Data[Dist],0),MATCH(G$6,Data[#Headers],0))</f>
        <v>6636244</v>
      </c>
      <c r="H50" s="21">
        <f>INDEX(Data[],MATCH($A50,Data[Dist],0),MATCH(H$6,Data[#Headers],0))-G50</f>
        <v>0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1324790</v>
      </c>
      <c r="L50" s="21">
        <f>INDEX(Notes!$I$2:$N$11,MATCH(Notes!$B$2,Notes!$I$2:$I$11,0),6)*$E50</f>
        <v>1987188</v>
      </c>
      <c r="M50" s="21">
        <f>IF(Notes!$B$2="June",'Payment Total'!$F50,0)</f>
        <v>662394</v>
      </c>
      <c r="N50" s="21">
        <f t="shared" si="0"/>
        <v>0</v>
      </c>
      <c r="P50" s="189" t="s">
        <v>869</v>
      </c>
      <c r="Q50" s="25">
        <v>662394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542312</v>
      </c>
      <c r="E51" s="21">
        <f>INDEX(Data[],MATCH($A51,Data[Dist],0),MATCH(E$6,Data[#Headers],0))</f>
        <v>542312</v>
      </c>
      <c r="F51" s="21">
        <f>INDEX(Data[],MATCH($A51,Data[Dist],0),MATCH(F$6,Data[#Headers],0))</f>
        <v>542310</v>
      </c>
      <c r="G51" s="21">
        <f>INDEX(Data[],MATCH($A51,Data[Dist],0),MATCH(G$6,Data[#Headers],0))</f>
        <v>5431430</v>
      </c>
      <c r="H51" s="21">
        <f>INDEX(Data[],MATCH($A51,Data[Dist],0),MATCH(H$6,Data[#Headers],0))-G51</f>
        <v>0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1084624</v>
      </c>
      <c r="L51" s="21">
        <f>INDEX(Notes!$I$2:$N$11,MATCH(Notes!$B$2,Notes!$I$2:$I$11,0),6)*$E51</f>
        <v>1626936</v>
      </c>
      <c r="M51" s="21">
        <f>IF(Notes!$B$2="June",'Payment Total'!$F51,0)</f>
        <v>542310</v>
      </c>
      <c r="N51" s="21">
        <f t="shared" si="0"/>
        <v>0</v>
      </c>
      <c r="P51" s="189" t="s">
        <v>870</v>
      </c>
      <c r="Q51" s="25">
        <v>542310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1746807</v>
      </c>
      <c r="E52" s="21">
        <f>INDEX(Data[],MATCH($A52,Data[Dist],0),MATCH(E$6,Data[#Headers],0))</f>
        <v>1746806</v>
      </c>
      <c r="F52" s="21">
        <f>INDEX(Data[],MATCH($A52,Data[Dist],0),MATCH(F$6,Data[#Headers],0))</f>
        <v>1746807</v>
      </c>
      <c r="G52" s="21">
        <f>INDEX(Data[],MATCH($A52,Data[Dist],0),MATCH(G$6,Data[#Headers],0))</f>
        <v>17497363</v>
      </c>
      <c r="H52" s="21">
        <f>INDEX(Data[],MATCH($A52,Data[Dist],0),MATCH(H$6,Data[#Headers],0))-G52</f>
        <v>0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3493614</v>
      </c>
      <c r="L52" s="21">
        <f>INDEX(Notes!$I$2:$N$11,MATCH(Notes!$B$2,Notes!$I$2:$I$11,0),6)*$E52</f>
        <v>5240418</v>
      </c>
      <c r="M52" s="21">
        <f>IF(Notes!$B$2="June",'Payment Total'!$F52,0)</f>
        <v>1746807</v>
      </c>
      <c r="N52" s="21">
        <f t="shared" si="0"/>
        <v>0</v>
      </c>
      <c r="P52" s="189" t="s">
        <v>871</v>
      </c>
      <c r="Q52" s="25">
        <v>1746807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1113875</v>
      </c>
      <c r="E53" s="21">
        <f>INDEX(Data[],MATCH($A53,Data[Dist],0),MATCH(E$6,Data[#Headers],0))</f>
        <v>1113875</v>
      </c>
      <c r="F53" s="21">
        <f>INDEX(Data[],MATCH($A53,Data[Dist],0),MATCH(F$6,Data[#Headers],0))</f>
        <v>1113876</v>
      </c>
      <c r="G53" s="21">
        <f>INDEX(Data[],MATCH($A53,Data[Dist],0),MATCH(G$6,Data[#Headers],0))</f>
        <v>11162303</v>
      </c>
      <c r="H53" s="21">
        <f>INDEX(Data[],MATCH($A53,Data[Dist],0),MATCH(H$6,Data[#Headers],0))-G53</f>
        <v>0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2227750</v>
      </c>
      <c r="L53" s="21">
        <f>INDEX(Notes!$I$2:$N$11,MATCH(Notes!$B$2,Notes!$I$2:$I$11,0),6)*$E53</f>
        <v>3341625</v>
      </c>
      <c r="M53" s="21">
        <f>IF(Notes!$B$2="June",'Payment Total'!$F53,0)</f>
        <v>1113876</v>
      </c>
      <c r="N53" s="21">
        <f t="shared" si="0"/>
        <v>0</v>
      </c>
      <c r="P53" s="189" t="s">
        <v>872</v>
      </c>
      <c r="Q53" s="25">
        <v>1113876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4279332</v>
      </c>
      <c r="E54" s="21">
        <f>INDEX(Data[],MATCH($A54,Data[Dist],0),MATCH(E$6,Data[#Headers],0))</f>
        <v>4279333</v>
      </c>
      <c r="F54" s="21">
        <f>INDEX(Data[],MATCH($A54,Data[Dist],0),MATCH(F$6,Data[#Headers],0))</f>
        <v>4279331</v>
      </c>
      <c r="G54" s="21">
        <f>INDEX(Data[],MATCH($A54,Data[Dist],0),MATCH(G$6,Data[#Headers],0))</f>
        <v>42876398</v>
      </c>
      <c r="H54" s="21">
        <f>INDEX(Data[],MATCH($A54,Data[Dist],0),MATCH(H$6,Data[#Headers],0))-G54</f>
        <v>0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8558664</v>
      </c>
      <c r="L54" s="21">
        <f>INDEX(Notes!$I$2:$N$11,MATCH(Notes!$B$2,Notes!$I$2:$I$11,0),6)*$E54</f>
        <v>12837999</v>
      </c>
      <c r="M54" s="21">
        <f>IF(Notes!$B$2="June",'Payment Total'!$F54,0)</f>
        <v>4279331</v>
      </c>
      <c r="N54" s="21">
        <f t="shared" si="0"/>
        <v>0</v>
      </c>
      <c r="P54" s="25" t="s">
        <v>874</v>
      </c>
      <c r="Q54" s="25">
        <v>4279331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13371488</v>
      </c>
      <c r="E55" s="21">
        <f>INDEX(Data[],MATCH($A55,Data[Dist],0),MATCH(E$6,Data[#Headers],0))</f>
        <v>13371488</v>
      </c>
      <c r="F55" s="21">
        <f>INDEX(Data[],MATCH($A55,Data[Dist],0),MATCH(F$6,Data[#Headers],0))</f>
        <v>13371489</v>
      </c>
      <c r="G55" s="21">
        <f>INDEX(Data[],MATCH($A55,Data[Dist],0),MATCH(G$6,Data[#Headers],0))</f>
        <v>133959945</v>
      </c>
      <c r="H55" s="21">
        <f>INDEX(Data[],MATCH($A55,Data[Dist],0),MATCH(H$6,Data[#Headers],0))-G55</f>
        <v>0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26742976</v>
      </c>
      <c r="L55" s="21">
        <f>INDEX(Notes!$I$2:$N$11,MATCH(Notes!$B$2,Notes!$I$2:$I$11,0),6)*$E55</f>
        <v>40114464</v>
      </c>
      <c r="M55" s="21">
        <f>IF(Notes!$B$2="June",'Payment Total'!$F55,0)</f>
        <v>13371489</v>
      </c>
      <c r="N55" s="21">
        <f t="shared" si="0"/>
        <v>0</v>
      </c>
      <c r="P55" s="25" t="s">
        <v>875</v>
      </c>
      <c r="Q55" s="25">
        <v>13371489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928131</v>
      </c>
      <c r="E56" s="21">
        <f>INDEX(Data[],MATCH($A56,Data[Dist],0),MATCH(E$6,Data[#Headers],0))</f>
        <v>928131</v>
      </c>
      <c r="F56" s="21">
        <f>INDEX(Data[],MATCH($A56,Data[Dist],0),MATCH(F$6,Data[#Headers],0))</f>
        <v>928132</v>
      </c>
      <c r="G56" s="21">
        <f>INDEX(Data[],MATCH($A56,Data[Dist],0),MATCH(G$6,Data[#Headers],0))</f>
        <v>9298511</v>
      </c>
      <c r="H56" s="21">
        <f>INDEX(Data[],MATCH($A56,Data[Dist],0),MATCH(H$6,Data[#Headers],0))-G56</f>
        <v>0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1856262</v>
      </c>
      <c r="L56" s="21">
        <f>INDEX(Notes!$I$2:$N$11,MATCH(Notes!$B$2,Notes!$I$2:$I$11,0),6)*$E56</f>
        <v>2784393</v>
      </c>
      <c r="M56" s="21">
        <f>IF(Notes!$B$2="June",'Payment Total'!$F56,0)</f>
        <v>928132</v>
      </c>
      <c r="N56" s="21">
        <f t="shared" si="0"/>
        <v>0</v>
      </c>
      <c r="P56" s="25" t="s">
        <v>876</v>
      </c>
      <c r="Q56" s="25">
        <v>928132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1176457</v>
      </c>
      <c r="E57" s="21">
        <f>INDEX(Data[],MATCH($A57,Data[Dist],0),MATCH(E$6,Data[#Headers],0))</f>
        <v>1176456</v>
      </c>
      <c r="F57" s="21">
        <f>INDEX(Data[],MATCH($A57,Data[Dist],0),MATCH(F$6,Data[#Headers],0))</f>
        <v>1176457</v>
      </c>
      <c r="G57" s="21">
        <f>INDEX(Data[],MATCH($A57,Data[Dist],0),MATCH(G$6,Data[#Headers],0))</f>
        <v>11783779</v>
      </c>
      <c r="H57" s="21">
        <f>INDEX(Data[],MATCH($A57,Data[Dist],0),MATCH(H$6,Data[#Headers],0))-G57</f>
        <v>0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2352914</v>
      </c>
      <c r="L57" s="21">
        <f>INDEX(Notes!$I$2:$N$11,MATCH(Notes!$B$2,Notes!$I$2:$I$11,0),6)*$E57</f>
        <v>3529368</v>
      </c>
      <c r="M57" s="21">
        <f>IF(Notes!$B$2="June",'Payment Total'!$F57,0)</f>
        <v>1176457</v>
      </c>
      <c r="N57" s="21">
        <f t="shared" si="0"/>
        <v>0</v>
      </c>
      <c r="P57" s="25" t="s">
        <v>877</v>
      </c>
      <c r="Q57" s="25">
        <v>1176457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640699</v>
      </c>
      <c r="E58" s="21">
        <f>INDEX(Data[],MATCH($A58,Data[Dist],0),MATCH(E$6,Data[#Headers],0))</f>
        <v>640699</v>
      </c>
      <c r="F58" s="21">
        <f>INDEX(Data[],MATCH($A58,Data[Dist],0),MATCH(F$6,Data[#Headers],0))</f>
        <v>640700</v>
      </c>
      <c r="G58" s="21">
        <f>INDEX(Data[],MATCH($A58,Data[Dist],0),MATCH(G$6,Data[#Headers],0))</f>
        <v>6419835</v>
      </c>
      <c r="H58" s="21">
        <f>INDEX(Data[],MATCH($A58,Data[Dist],0),MATCH(H$6,Data[#Headers],0))-G58</f>
        <v>0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1281398</v>
      </c>
      <c r="L58" s="21">
        <f>INDEX(Notes!$I$2:$N$11,MATCH(Notes!$B$2,Notes!$I$2:$I$11,0),6)*$E58</f>
        <v>1922097</v>
      </c>
      <c r="M58" s="21">
        <f>IF(Notes!$B$2="June",'Payment Total'!$F58,0)</f>
        <v>640700</v>
      </c>
      <c r="N58" s="21">
        <f t="shared" si="0"/>
        <v>0</v>
      </c>
      <c r="P58" s="25" t="s">
        <v>878</v>
      </c>
      <c r="Q58" s="25">
        <v>640700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377829</v>
      </c>
      <c r="E59" s="21">
        <f>INDEX(Data[],MATCH($A59,Data[Dist],0),MATCH(E$6,Data[#Headers],0))</f>
        <v>377829</v>
      </c>
      <c r="F59" s="21">
        <f>INDEX(Data[],MATCH($A59,Data[Dist],0),MATCH(F$6,Data[#Headers],0))</f>
        <v>377829</v>
      </c>
      <c r="G59" s="21">
        <f>INDEX(Data[],MATCH($A59,Data[Dist],0),MATCH(G$6,Data[#Headers],0))</f>
        <v>3785222</v>
      </c>
      <c r="H59" s="21">
        <f>INDEX(Data[],MATCH($A59,Data[Dist],0),MATCH(H$6,Data[#Headers],0))-G59</f>
        <v>0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755658</v>
      </c>
      <c r="L59" s="21">
        <f>INDEX(Notes!$I$2:$N$11,MATCH(Notes!$B$2,Notes!$I$2:$I$11,0),6)*$E59</f>
        <v>1133487</v>
      </c>
      <c r="M59" s="21">
        <f>IF(Notes!$B$2="June",'Payment Total'!$F59,0)</f>
        <v>377829</v>
      </c>
      <c r="N59" s="21">
        <f t="shared" si="0"/>
        <v>0</v>
      </c>
      <c r="P59" s="25" t="s">
        <v>879</v>
      </c>
      <c r="Q59" s="25">
        <v>377829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1207686</v>
      </c>
      <c r="E60" s="21">
        <f>INDEX(Data[],MATCH($A60,Data[Dist],0),MATCH(E$6,Data[#Headers],0))</f>
        <v>1207686</v>
      </c>
      <c r="F60" s="21">
        <f>INDEX(Data[],MATCH($A60,Data[Dist],0),MATCH(F$6,Data[#Headers],0))</f>
        <v>1207686</v>
      </c>
      <c r="G60" s="21">
        <f>INDEX(Data[],MATCH($A60,Data[Dist],0),MATCH(G$6,Data[#Headers],0))</f>
        <v>12099060</v>
      </c>
      <c r="H60" s="21">
        <f>INDEX(Data[],MATCH($A60,Data[Dist],0),MATCH(H$6,Data[#Headers],0))-G60</f>
        <v>0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2415372</v>
      </c>
      <c r="L60" s="21">
        <f>INDEX(Notes!$I$2:$N$11,MATCH(Notes!$B$2,Notes!$I$2:$I$11,0),6)*$E60</f>
        <v>3623058</v>
      </c>
      <c r="M60" s="21">
        <f>IF(Notes!$B$2="June",'Payment Total'!$F60,0)</f>
        <v>1207686</v>
      </c>
      <c r="N60" s="21">
        <f t="shared" si="0"/>
        <v>0</v>
      </c>
      <c r="P60" s="25" t="s">
        <v>880</v>
      </c>
      <c r="Q60" s="25">
        <v>1207686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354174</v>
      </c>
      <c r="E61" s="21">
        <f>INDEX(Data[],MATCH($A61,Data[Dist],0),MATCH(E$6,Data[#Headers],0))</f>
        <v>354174</v>
      </c>
      <c r="F61" s="21">
        <f>INDEX(Data[],MATCH($A61,Data[Dist],0),MATCH(F$6,Data[#Headers],0))</f>
        <v>354173</v>
      </c>
      <c r="G61" s="21">
        <f>INDEX(Data[],MATCH($A61,Data[Dist],0),MATCH(G$6,Data[#Headers],0))</f>
        <v>3547991</v>
      </c>
      <c r="H61" s="21">
        <f>INDEX(Data[],MATCH($A61,Data[Dist],0),MATCH(H$6,Data[#Headers],0))-G61</f>
        <v>0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708348</v>
      </c>
      <c r="L61" s="21">
        <f>INDEX(Notes!$I$2:$N$11,MATCH(Notes!$B$2,Notes!$I$2:$I$11,0),6)*$E61</f>
        <v>1062522</v>
      </c>
      <c r="M61" s="21">
        <f>IF(Notes!$B$2="June",'Payment Total'!$F61,0)</f>
        <v>354173</v>
      </c>
      <c r="N61" s="21">
        <f t="shared" si="0"/>
        <v>0</v>
      </c>
      <c r="P61" s="25" t="s">
        <v>881</v>
      </c>
      <c r="Q61" s="25">
        <v>354173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601293</v>
      </c>
      <c r="E62" s="21">
        <f>INDEX(Data[],MATCH($A62,Data[Dist],0),MATCH(E$6,Data[#Headers],0))</f>
        <v>601294</v>
      </c>
      <c r="F62" s="21">
        <f>INDEX(Data[],MATCH($A62,Data[Dist],0),MATCH(F$6,Data[#Headers],0))</f>
        <v>601292</v>
      </c>
      <c r="G62" s="21">
        <f>INDEX(Data[],MATCH($A62,Data[Dist],0),MATCH(G$6,Data[#Headers],0))</f>
        <v>6022076</v>
      </c>
      <c r="H62" s="21">
        <f>INDEX(Data[],MATCH($A62,Data[Dist],0),MATCH(H$6,Data[#Headers],0))-G62</f>
        <v>0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1202586</v>
      </c>
      <c r="L62" s="21">
        <f>INDEX(Notes!$I$2:$N$11,MATCH(Notes!$B$2,Notes!$I$2:$I$11,0),6)*$E62</f>
        <v>1803882</v>
      </c>
      <c r="M62" s="21">
        <f>IF(Notes!$B$2="June",'Payment Total'!$F62,0)</f>
        <v>601292</v>
      </c>
      <c r="N62" s="21">
        <f t="shared" si="0"/>
        <v>0</v>
      </c>
      <c r="P62" s="25" t="s">
        <v>882</v>
      </c>
      <c r="Q62" s="25">
        <v>601292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554770</v>
      </c>
      <c r="E63" s="21">
        <f>INDEX(Data[],MATCH($A63,Data[Dist],0),MATCH(E$6,Data[#Headers],0))</f>
        <v>554771</v>
      </c>
      <c r="F63" s="21">
        <f>INDEX(Data[],MATCH($A63,Data[Dist],0),MATCH(F$6,Data[#Headers],0))</f>
        <v>554769</v>
      </c>
      <c r="G63" s="21">
        <f>INDEX(Data[],MATCH($A63,Data[Dist],0),MATCH(G$6,Data[#Headers],0))</f>
        <v>5558842</v>
      </c>
      <c r="H63" s="21">
        <f>INDEX(Data[],MATCH($A63,Data[Dist],0),MATCH(H$6,Data[#Headers],0))-G63</f>
        <v>0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1109540</v>
      </c>
      <c r="L63" s="21">
        <f>INDEX(Notes!$I$2:$N$11,MATCH(Notes!$B$2,Notes!$I$2:$I$11,0),6)*$E63</f>
        <v>1664313</v>
      </c>
      <c r="M63" s="21">
        <f>IF(Notes!$B$2="June",'Payment Total'!$F63,0)</f>
        <v>554769</v>
      </c>
      <c r="N63" s="21">
        <f t="shared" si="0"/>
        <v>0</v>
      </c>
      <c r="P63" s="25" t="s">
        <v>883</v>
      </c>
      <c r="Q63" s="25">
        <v>554769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1145740</v>
      </c>
      <c r="E64" s="21">
        <f>INDEX(Data[],MATCH($A64,Data[Dist],0),MATCH(E$6,Data[#Headers],0))</f>
        <v>1145740</v>
      </c>
      <c r="F64" s="21">
        <f>INDEX(Data[],MATCH($A64,Data[Dist],0),MATCH(F$6,Data[#Headers],0))</f>
        <v>1145741</v>
      </c>
      <c r="G64" s="21">
        <f>INDEX(Data[],MATCH($A64,Data[Dist],0),MATCH(G$6,Data[#Headers],0))</f>
        <v>11477509</v>
      </c>
      <c r="H64" s="21">
        <f>INDEX(Data[],MATCH($A64,Data[Dist],0),MATCH(H$6,Data[#Headers],0))-G64</f>
        <v>0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2291480</v>
      </c>
      <c r="L64" s="21">
        <f>INDEX(Notes!$I$2:$N$11,MATCH(Notes!$B$2,Notes!$I$2:$I$11,0),6)*$E64</f>
        <v>3437220</v>
      </c>
      <c r="M64" s="21">
        <f>IF(Notes!$B$2="June",'Payment Total'!$F64,0)</f>
        <v>1145741</v>
      </c>
      <c r="N64" s="21">
        <f t="shared" si="0"/>
        <v>0</v>
      </c>
      <c r="P64" s="25" t="s">
        <v>884</v>
      </c>
      <c r="Q64" s="25">
        <v>1145741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1207883</v>
      </c>
      <c r="E65" s="21">
        <f>INDEX(Data[],MATCH($A65,Data[Dist],0),MATCH(E$6,Data[#Headers],0))</f>
        <v>1207883</v>
      </c>
      <c r="F65" s="21">
        <f>INDEX(Data[],MATCH($A65,Data[Dist],0),MATCH(F$6,Data[#Headers],0))</f>
        <v>1207881</v>
      </c>
      <c r="G65" s="21">
        <f>INDEX(Data[],MATCH($A65,Data[Dist],0),MATCH(G$6,Data[#Headers],0))</f>
        <v>12100428</v>
      </c>
      <c r="H65" s="21">
        <f>INDEX(Data[],MATCH($A65,Data[Dist],0),MATCH(H$6,Data[#Headers],0))-G65</f>
        <v>0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2415766</v>
      </c>
      <c r="L65" s="21">
        <f>INDEX(Notes!$I$2:$N$11,MATCH(Notes!$B$2,Notes!$I$2:$I$11,0),6)*$E65</f>
        <v>3623649</v>
      </c>
      <c r="M65" s="21">
        <f>IF(Notes!$B$2="June",'Payment Total'!$F65,0)</f>
        <v>1207881</v>
      </c>
      <c r="N65" s="21">
        <f t="shared" si="0"/>
        <v>0</v>
      </c>
      <c r="P65" s="25" t="s">
        <v>885</v>
      </c>
      <c r="Q65" s="25">
        <v>1207881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207597</v>
      </c>
      <c r="E66" s="21">
        <f>INDEX(Data[],MATCH($A66,Data[Dist],0),MATCH(E$6,Data[#Headers],0))</f>
        <v>207596</v>
      </c>
      <c r="F66" s="21">
        <f>INDEX(Data[],MATCH($A66,Data[Dist],0),MATCH(F$6,Data[#Headers],0))</f>
        <v>207597</v>
      </c>
      <c r="G66" s="21">
        <f>INDEX(Data[],MATCH($A66,Data[Dist],0),MATCH(G$6,Data[#Headers],0))</f>
        <v>2080347</v>
      </c>
      <c r="H66" s="21">
        <f>INDEX(Data[],MATCH($A66,Data[Dist],0),MATCH(H$6,Data[#Headers],0))-G66</f>
        <v>0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415194</v>
      </c>
      <c r="L66" s="21">
        <f>INDEX(Notes!$I$2:$N$11,MATCH(Notes!$B$2,Notes!$I$2:$I$11,0),6)*$E66</f>
        <v>622788</v>
      </c>
      <c r="M66" s="21">
        <f>IF(Notes!$B$2="June",'Payment Total'!$F66,0)</f>
        <v>207597</v>
      </c>
      <c r="N66" s="21">
        <f t="shared" si="0"/>
        <v>0</v>
      </c>
      <c r="P66" s="25" t="s">
        <v>886</v>
      </c>
      <c r="Q66" s="25">
        <v>207597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875601</v>
      </c>
      <c r="E67" s="21">
        <f>INDEX(Data[],MATCH($A67,Data[Dist],0),MATCH(E$6,Data[#Headers],0))</f>
        <v>875601</v>
      </c>
      <c r="F67" s="21">
        <f>INDEX(Data[],MATCH($A67,Data[Dist],0),MATCH(F$6,Data[#Headers],0))</f>
        <v>875602</v>
      </c>
      <c r="G67" s="21">
        <f>INDEX(Data[],MATCH($A67,Data[Dist],0),MATCH(G$6,Data[#Headers],0))</f>
        <v>8771243</v>
      </c>
      <c r="H67" s="21">
        <f>INDEX(Data[],MATCH($A67,Data[Dist],0),MATCH(H$6,Data[#Headers],0))-G67</f>
        <v>0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1751202</v>
      </c>
      <c r="L67" s="21">
        <f>INDEX(Notes!$I$2:$N$11,MATCH(Notes!$B$2,Notes!$I$2:$I$11,0),6)*$E67</f>
        <v>2626803</v>
      </c>
      <c r="M67" s="21">
        <f>IF(Notes!$B$2="June",'Payment Total'!$F67,0)</f>
        <v>875602</v>
      </c>
      <c r="N67" s="21">
        <f t="shared" si="0"/>
        <v>0</v>
      </c>
      <c r="P67" s="25" t="s">
        <v>887</v>
      </c>
      <c r="Q67" s="25">
        <v>875602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802834</v>
      </c>
      <c r="E68" s="21">
        <f>INDEX(Data[],MATCH($A68,Data[Dist],0),MATCH(E$6,Data[#Headers],0))</f>
        <v>802834</v>
      </c>
      <c r="F68" s="21">
        <f>INDEX(Data[],MATCH($A68,Data[Dist],0),MATCH(F$6,Data[#Headers],0))</f>
        <v>802834</v>
      </c>
      <c r="G68" s="21">
        <f>INDEX(Data[],MATCH($A68,Data[Dist],0),MATCH(G$6,Data[#Headers],0))</f>
        <v>8043028</v>
      </c>
      <c r="H68" s="21">
        <f>INDEX(Data[],MATCH($A68,Data[Dist],0),MATCH(H$6,Data[#Headers],0))-G68</f>
        <v>0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1605668</v>
      </c>
      <c r="L68" s="21">
        <f>INDEX(Notes!$I$2:$N$11,MATCH(Notes!$B$2,Notes!$I$2:$I$11,0),6)*$E68</f>
        <v>2408502</v>
      </c>
      <c r="M68" s="21">
        <f>IF(Notes!$B$2="June",'Payment Total'!$F68,0)</f>
        <v>802834</v>
      </c>
      <c r="N68" s="21">
        <f t="shared" si="0"/>
        <v>0</v>
      </c>
      <c r="P68" s="25" t="s">
        <v>888</v>
      </c>
      <c r="Q68" s="25">
        <v>802834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673561</v>
      </c>
      <c r="E69" s="21">
        <f>INDEX(Data[],MATCH($A69,Data[Dist],0),MATCH(E$6,Data[#Headers],0))</f>
        <v>673560</v>
      </c>
      <c r="F69" s="21">
        <f>INDEX(Data[],MATCH($A69,Data[Dist],0),MATCH(F$6,Data[#Headers],0))</f>
        <v>673561</v>
      </c>
      <c r="G69" s="21">
        <f>INDEX(Data[],MATCH($A69,Data[Dist],0),MATCH(G$6,Data[#Headers],0))</f>
        <v>6750379</v>
      </c>
      <c r="H69" s="21">
        <f>INDEX(Data[],MATCH($A69,Data[Dist],0),MATCH(H$6,Data[#Headers],0))-G69</f>
        <v>0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1347122</v>
      </c>
      <c r="L69" s="21">
        <f>INDEX(Notes!$I$2:$N$11,MATCH(Notes!$B$2,Notes!$I$2:$I$11,0),6)*$E69</f>
        <v>2020680</v>
      </c>
      <c r="M69" s="21">
        <f>IF(Notes!$B$2="June",'Payment Total'!$F69,0)</f>
        <v>673561</v>
      </c>
      <c r="N69" s="21">
        <f t="shared" si="0"/>
        <v>0</v>
      </c>
      <c r="P69" s="25" t="s">
        <v>889</v>
      </c>
      <c r="Q69" s="25">
        <v>673561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1363142</v>
      </c>
      <c r="E70" s="21">
        <f>INDEX(Data[],MATCH($A70,Data[Dist],0),MATCH(E$6,Data[#Headers],0))</f>
        <v>1363142</v>
      </c>
      <c r="F70" s="21">
        <f>INDEX(Data[],MATCH($A70,Data[Dist],0),MATCH(F$6,Data[#Headers],0))</f>
        <v>1363142</v>
      </c>
      <c r="G70" s="21">
        <f>INDEX(Data[],MATCH($A70,Data[Dist],0),MATCH(G$6,Data[#Headers],0))</f>
        <v>13653880</v>
      </c>
      <c r="H70" s="21">
        <f>INDEX(Data[],MATCH($A70,Data[Dist],0),MATCH(H$6,Data[#Headers],0))-G70</f>
        <v>0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2726284</v>
      </c>
      <c r="L70" s="21">
        <f>INDEX(Notes!$I$2:$N$11,MATCH(Notes!$B$2,Notes!$I$2:$I$11,0),6)*$E70</f>
        <v>4089426</v>
      </c>
      <c r="M70" s="21">
        <f>IF(Notes!$B$2="June",'Payment Total'!$F70,0)</f>
        <v>1363142</v>
      </c>
      <c r="N70" s="21">
        <f t="shared" si="0"/>
        <v>0</v>
      </c>
      <c r="P70" s="25" t="s">
        <v>890</v>
      </c>
      <c r="Q70" s="25">
        <v>1363142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258288</v>
      </c>
      <c r="E71" s="21">
        <f>INDEX(Data[],MATCH($A71,Data[Dist],0),MATCH(E$6,Data[#Headers],0))</f>
        <v>258288</v>
      </c>
      <c r="F71" s="21">
        <f>INDEX(Data[],MATCH($A71,Data[Dist],0),MATCH(F$6,Data[#Headers],0))</f>
        <v>258289</v>
      </c>
      <c r="G71" s="21">
        <f>INDEX(Data[],MATCH($A71,Data[Dist],0),MATCH(G$6,Data[#Headers],0))</f>
        <v>2587025</v>
      </c>
      <c r="H71" s="21">
        <f>INDEX(Data[],MATCH($A71,Data[Dist],0),MATCH(H$6,Data[#Headers],0))-G71</f>
        <v>0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516576</v>
      </c>
      <c r="L71" s="21">
        <f>INDEX(Notes!$I$2:$N$11,MATCH(Notes!$B$2,Notes!$I$2:$I$11,0),6)*$E71</f>
        <v>774864</v>
      </c>
      <c r="M71" s="21">
        <f>IF(Notes!$B$2="June",'Payment Total'!$F71,0)</f>
        <v>258289</v>
      </c>
      <c r="N71" s="21">
        <f t="shared" si="0"/>
        <v>0</v>
      </c>
      <c r="P71" s="25" t="s">
        <v>891</v>
      </c>
      <c r="Q71" s="25">
        <v>258289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119701</v>
      </c>
      <c r="E72" s="21">
        <f>INDEX(Data[],MATCH($A72,Data[Dist],0),MATCH(E$6,Data[#Headers],0))</f>
        <v>119701</v>
      </c>
      <c r="F72" s="21">
        <f>INDEX(Data[],MATCH($A72,Data[Dist],0),MATCH(F$6,Data[#Headers],0))</f>
        <v>119700</v>
      </c>
      <c r="G72" s="21">
        <f>INDEX(Data[],MATCH($A72,Data[Dist],0),MATCH(G$6,Data[#Headers],0))</f>
        <v>1201085</v>
      </c>
      <c r="H72" s="21">
        <f>INDEX(Data[],MATCH($A72,Data[Dist],0),MATCH(H$6,Data[#Headers],0))-G72</f>
        <v>0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239402</v>
      </c>
      <c r="L72" s="21">
        <f>INDEX(Notes!$I$2:$N$11,MATCH(Notes!$B$2,Notes!$I$2:$I$11,0),6)*$E72</f>
        <v>359103</v>
      </c>
      <c r="M72" s="21">
        <f>IF(Notes!$B$2="June",'Payment Total'!$F72,0)</f>
        <v>119700</v>
      </c>
      <c r="N72" s="21">
        <f t="shared" ref="N72:N135" si="4">SUM(J72:M72)-G72</f>
        <v>0</v>
      </c>
      <c r="P72" s="25" t="s">
        <v>892</v>
      </c>
      <c r="Q72" s="25">
        <v>119700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INDEX($A$7:$H$331,MATCH($S72,$A$7:$A$331,0),6)-Q72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2352153</v>
      </c>
      <c r="E73" s="21">
        <f>INDEX(Data[],MATCH($A73,Data[Dist],0),MATCH(E$6,Data[#Headers],0))</f>
        <v>2352153</v>
      </c>
      <c r="F73" s="21">
        <f>INDEX(Data[],MATCH($A73,Data[Dist],0),MATCH(F$6,Data[#Headers],0))</f>
        <v>2352153</v>
      </c>
      <c r="G73" s="21">
        <f>INDEX(Data[],MATCH($A73,Data[Dist],0),MATCH(G$6,Data[#Headers],0))</f>
        <v>23568994</v>
      </c>
      <c r="H73" s="21">
        <f>INDEX(Data[],MATCH($A73,Data[Dist],0),MATCH(H$6,Data[#Headers],0))-G73</f>
        <v>0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4704306</v>
      </c>
      <c r="L73" s="21">
        <f>INDEX(Notes!$I$2:$N$11,MATCH(Notes!$B$2,Notes!$I$2:$I$11,0),6)*$E73</f>
        <v>7056459</v>
      </c>
      <c r="M73" s="21">
        <f>IF(Notes!$B$2="June",'Payment Total'!$F73,0)</f>
        <v>2352153</v>
      </c>
      <c r="N73" s="21">
        <f t="shared" si="4"/>
        <v>0</v>
      </c>
      <c r="P73" s="25" t="s">
        <v>893</v>
      </c>
      <c r="Q73" s="25">
        <v>2352153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540922</v>
      </c>
      <c r="E74" s="21">
        <f>INDEX(Data[],MATCH($A74,Data[Dist],0),MATCH(E$6,Data[#Headers],0))</f>
        <v>540922</v>
      </c>
      <c r="F74" s="21">
        <f>INDEX(Data[],MATCH($A74,Data[Dist],0),MATCH(F$6,Data[#Headers],0))</f>
        <v>540920</v>
      </c>
      <c r="G74" s="21">
        <f>INDEX(Data[],MATCH($A74,Data[Dist],0),MATCH(G$6,Data[#Headers],0))</f>
        <v>5426554</v>
      </c>
      <c r="H74" s="21">
        <f>INDEX(Data[],MATCH($A74,Data[Dist],0),MATCH(H$6,Data[#Headers],0))-G74</f>
        <v>0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1081844</v>
      </c>
      <c r="L74" s="21">
        <f>INDEX(Notes!$I$2:$N$11,MATCH(Notes!$B$2,Notes!$I$2:$I$11,0),6)*$E74</f>
        <v>1622766</v>
      </c>
      <c r="M74" s="21">
        <f>IF(Notes!$B$2="June",'Payment Total'!$F74,0)</f>
        <v>540920</v>
      </c>
      <c r="N74" s="21">
        <f t="shared" si="4"/>
        <v>0</v>
      </c>
      <c r="P74" s="25" t="s">
        <v>894</v>
      </c>
      <c r="Q74" s="25">
        <v>540920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3472672</v>
      </c>
      <c r="E75" s="21">
        <f>INDEX(Data[],MATCH($A75,Data[Dist],0),MATCH(E$6,Data[#Headers],0))</f>
        <v>3472672</v>
      </c>
      <c r="F75" s="21">
        <f>INDEX(Data[],MATCH($A75,Data[Dist],0),MATCH(F$6,Data[#Headers],0))</f>
        <v>3472672</v>
      </c>
      <c r="G75" s="21">
        <f>INDEX(Data[],MATCH($A75,Data[Dist],0),MATCH(G$6,Data[#Headers],0))</f>
        <v>34781204</v>
      </c>
      <c r="H75" s="21">
        <f>INDEX(Data[],MATCH($A75,Data[Dist],0),MATCH(H$6,Data[#Headers],0))-G75</f>
        <v>0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6945344</v>
      </c>
      <c r="L75" s="21">
        <f>INDEX(Notes!$I$2:$N$11,MATCH(Notes!$B$2,Notes!$I$2:$I$11,0),6)*$E75</f>
        <v>10418016</v>
      </c>
      <c r="M75" s="21">
        <f>IF(Notes!$B$2="June",'Payment Total'!$F75,0)</f>
        <v>3472672</v>
      </c>
      <c r="N75" s="21">
        <f t="shared" si="4"/>
        <v>0</v>
      </c>
      <c r="P75" s="25" t="s">
        <v>895</v>
      </c>
      <c r="Q75" s="25">
        <v>3472672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555207</v>
      </c>
      <c r="E76" s="21">
        <f>INDEX(Data[],MATCH($A76,Data[Dist],0),MATCH(E$6,Data[#Headers],0))</f>
        <v>555208</v>
      </c>
      <c r="F76" s="21">
        <f>INDEX(Data[],MATCH($A76,Data[Dist],0),MATCH(F$6,Data[#Headers],0))</f>
        <v>555206</v>
      </c>
      <c r="G76" s="21">
        <f>INDEX(Data[],MATCH($A76,Data[Dist],0),MATCH(G$6,Data[#Headers],0))</f>
        <v>5562480</v>
      </c>
      <c r="H76" s="21">
        <f>INDEX(Data[],MATCH($A76,Data[Dist],0),MATCH(H$6,Data[#Headers],0))-G76</f>
        <v>0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1110414</v>
      </c>
      <c r="L76" s="21">
        <f>INDEX(Notes!$I$2:$N$11,MATCH(Notes!$B$2,Notes!$I$2:$I$11,0),6)*$E76</f>
        <v>1665624</v>
      </c>
      <c r="M76" s="21">
        <f>IF(Notes!$B$2="June",'Payment Total'!$F76,0)</f>
        <v>555206</v>
      </c>
      <c r="N76" s="21">
        <f t="shared" si="4"/>
        <v>0</v>
      </c>
      <c r="P76" s="25" t="s">
        <v>896</v>
      </c>
      <c r="Q76" s="25">
        <v>555206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3647919</v>
      </c>
      <c r="E77" s="21">
        <f>INDEX(Data[],MATCH($A77,Data[Dist],0),MATCH(E$6,Data[#Headers],0))</f>
        <v>3647919</v>
      </c>
      <c r="F77" s="21">
        <f>INDEX(Data[],MATCH($A77,Data[Dist],0),MATCH(F$6,Data[#Headers],0))</f>
        <v>3647917</v>
      </c>
      <c r="G77" s="21">
        <f>INDEX(Data[],MATCH($A77,Data[Dist],0),MATCH(G$6,Data[#Headers],0))</f>
        <v>36556924</v>
      </c>
      <c r="H77" s="21">
        <f>INDEX(Data[],MATCH($A77,Data[Dist],0),MATCH(H$6,Data[#Headers],0))-G77</f>
        <v>0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7295838</v>
      </c>
      <c r="L77" s="21">
        <f>INDEX(Notes!$I$2:$N$11,MATCH(Notes!$B$2,Notes!$I$2:$I$11,0),6)*$E77</f>
        <v>10943757</v>
      </c>
      <c r="M77" s="21">
        <f>IF(Notes!$B$2="June",'Payment Total'!$F77,0)</f>
        <v>3647917</v>
      </c>
      <c r="N77" s="21">
        <f t="shared" si="4"/>
        <v>0</v>
      </c>
      <c r="P77" s="25" t="s">
        <v>897</v>
      </c>
      <c r="Q77" s="25">
        <v>3647917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343477</v>
      </c>
      <c r="E78" s="21">
        <f>INDEX(Data[],MATCH($A78,Data[Dist],0),MATCH(E$6,Data[#Headers],0))</f>
        <v>343477</v>
      </c>
      <c r="F78" s="21">
        <f>INDEX(Data[],MATCH($A78,Data[Dist],0),MATCH(F$6,Data[#Headers],0))</f>
        <v>343475</v>
      </c>
      <c r="G78" s="21">
        <f>INDEX(Data[],MATCH($A78,Data[Dist],0),MATCH(G$6,Data[#Headers],0))</f>
        <v>3441124</v>
      </c>
      <c r="H78" s="21">
        <f>INDEX(Data[],MATCH($A78,Data[Dist],0),MATCH(H$6,Data[#Headers],0))-G78</f>
        <v>0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686954</v>
      </c>
      <c r="L78" s="21">
        <f>INDEX(Notes!$I$2:$N$11,MATCH(Notes!$B$2,Notes!$I$2:$I$11,0),6)*$E78</f>
        <v>1030431</v>
      </c>
      <c r="M78" s="21">
        <f>IF(Notes!$B$2="June",'Payment Total'!$F78,0)</f>
        <v>343475</v>
      </c>
      <c r="N78" s="21">
        <f t="shared" si="4"/>
        <v>0</v>
      </c>
      <c r="P78" s="25" t="s">
        <v>898</v>
      </c>
      <c r="Q78" s="25">
        <v>343475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297633</v>
      </c>
      <c r="E79" s="21">
        <f>INDEX(Data[],MATCH($A79,Data[Dist],0),MATCH(E$6,Data[#Headers],0))</f>
        <v>297634</v>
      </c>
      <c r="F79" s="21">
        <f>INDEX(Data[],MATCH($A79,Data[Dist],0),MATCH(F$6,Data[#Headers],0))</f>
        <v>297632</v>
      </c>
      <c r="G79" s="21">
        <f>INDEX(Data[],MATCH($A79,Data[Dist],0),MATCH(G$6,Data[#Headers],0))</f>
        <v>2983204</v>
      </c>
      <c r="H79" s="21">
        <f>INDEX(Data[],MATCH($A79,Data[Dist],0),MATCH(H$6,Data[#Headers],0))-G79</f>
        <v>0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595266</v>
      </c>
      <c r="L79" s="21">
        <f>INDEX(Notes!$I$2:$N$11,MATCH(Notes!$B$2,Notes!$I$2:$I$11,0),6)*$E79</f>
        <v>892902</v>
      </c>
      <c r="M79" s="21">
        <f>IF(Notes!$B$2="June",'Payment Total'!$F79,0)</f>
        <v>297632</v>
      </c>
      <c r="N79" s="21">
        <f t="shared" si="4"/>
        <v>0</v>
      </c>
      <c r="P79" s="25" t="s">
        <v>899</v>
      </c>
      <c r="Q79" s="25">
        <v>297632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680963</v>
      </c>
      <c r="E80" s="21">
        <f>INDEX(Data[],MATCH($A80,Data[Dist],0),MATCH(E$6,Data[#Headers],0))</f>
        <v>680963</v>
      </c>
      <c r="F80" s="21">
        <f>INDEX(Data[],MATCH($A80,Data[Dist],0),MATCH(F$6,Data[#Headers],0))</f>
        <v>680961</v>
      </c>
      <c r="G80" s="21">
        <f>INDEX(Data[],MATCH($A80,Data[Dist],0),MATCH(G$6,Data[#Headers],0))</f>
        <v>6821216</v>
      </c>
      <c r="H80" s="21">
        <f>INDEX(Data[],MATCH($A80,Data[Dist],0),MATCH(H$6,Data[#Headers],0))-G80</f>
        <v>0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1361926</v>
      </c>
      <c r="L80" s="21">
        <f>INDEX(Notes!$I$2:$N$11,MATCH(Notes!$B$2,Notes!$I$2:$I$11,0),6)*$E80</f>
        <v>2042889</v>
      </c>
      <c r="M80" s="21">
        <f>IF(Notes!$B$2="June",'Payment Total'!$F80,0)</f>
        <v>680961</v>
      </c>
      <c r="N80" s="21">
        <f t="shared" si="4"/>
        <v>0</v>
      </c>
      <c r="P80" s="25" t="s">
        <v>900</v>
      </c>
      <c r="Q80" s="25">
        <v>680961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359386</v>
      </c>
      <c r="E81" s="21">
        <f>INDEX(Data[],MATCH($A81,Data[Dist],0),MATCH(E$6,Data[#Headers],0))</f>
        <v>359386</v>
      </c>
      <c r="F81" s="21">
        <f>INDEX(Data[],MATCH($A81,Data[Dist],0),MATCH(F$6,Data[#Headers],0))</f>
        <v>359387</v>
      </c>
      <c r="G81" s="21">
        <f>INDEX(Data[],MATCH($A81,Data[Dist],0),MATCH(G$6,Data[#Headers],0))</f>
        <v>3600557</v>
      </c>
      <c r="H81" s="21">
        <f>INDEX(Data[],MATCH($A81,Data[Dist],0),MATCH(H$6,Data[#Headers],0))-G81</f>
        <v>0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718772</v>
      </c>
      <c r="L81" s="21">
        <f>INDEX(Notes!$I$2:$N$11,MATCH(Notes!$B$2,Notes!$I$2:$I$11,0),6)*$E81</f>
        <v>1078158</v>
      </c>
      <c r="M81" s="21">
        <f>IF(Notes!$B$2="June",'Payment Total'!$F81,0)</f>
        <v>359387</v>
      </c>
      <c r="N81" s="21">
        <f t="shared" si="4"/>
        <v>0</v>
      </c>
      <c r="P81" s="25" t="s">
        <v>901</v>
      </c>
      <c r="Q81" s="25">
        <v>359387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245271</v>
      </c>
      <c r="E82" s="21">
        <f>INDEX(Data[],MATCH($A82,Data[Dist],0),MATCH(E$6,Data[#Headers],0))</f>
        <v>245271</v>
      </c>
      <c r="F82" s="21">
        <f>INDEX(Data[],MATCH($A82,Data[Dist],0),MATCH(F$6,Data[#Headers],0))</f>
        <v>245270</v>
      </c>
      <c r="G82" s="21">
        <f>INDEX(Data[],MATCH($A82,Data[Dist],0),MATCH(G$6,Data[#Headers],0))</f>
        <v>2458733</v>
      </c>
      <c r="H82" s="21">
        <f>INDEX(Data[],MATCH($A82,Data[Dist],0),MATCH(H$6,Data[#Headers],0))-G82</f>
        <v>0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490542</v>
      </c>
      <c r="L82" s="21">
        <f>INDEX(Notes!$I$2:$N$11,MATCH(Notes!$B$2,Notes!$I$2:$I$11,0),6)*$E82</f>
        <v>735813</v>
      </c>
      <c r="M82" s="21">
        <f>IF(Notes!$B$2="June",'Payment Total'!$F82,0)</f>
        <v>245270</v>
      </c>
      <c r="N82" s="21">
        <f t="shared" si="4"/>
        <v>0</v>
      </c>
      <c r="P82" s="25" t="s">
        <v>902</v>
      </c>
      <c r="Q82" s="25">
        <v>245270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8168969</v>
      </c>
      <c r="E83" s="21">
        <f>INDEX(Data[],MATCH($A83,Data[Dist],0),MATCH(E$6,Data[#Headers],0))</f>
        <v>8168969</v>
      </c>
      <c r="F83" s="21">
        <f>INDEX(Data[],MATCH($A83,Data[Dist],0),MATCH(F$6,Data[#Headers],0))</f>
        <v>8168969</v>
      </c>
      <c r="G83" s="21">
        <f>INDEX(Data[],MATCH($A83,Data[Dist],0),MATCH(G$6,Data[#Headers],0))</f>
        <v>81818270</v>
      </c>
      <c r="H83" s="21">
        <f>INDEX(Data[],MATCH($A83,Data[Dist],0),MATCH(H$6,Data[#Headers],0))-G83</f>
        <v>0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16337938</v>
      </c>
      <c r="L83" s="21">
        <f>INDEX(Notes!$I$2:$N$11,MATCH(Notes!$B$2,Notes!$I$2:$I$11,0),6)*$E83</f>
        <v>24506907</v>
      </c>
      <c r="M83" s="21">
        <f>IF(Notes!$B$2="June",'Payment Total'!$F83,0)</f>
        <v>8168969</v>
      </c>
      <c r="N83" s="21">
        <f t="shared" si="4"/>
        <v>0</v>
      </c>
      <c r="P83" s="25" t="s">
        <v>903</v>
      </c>
      <c r="Q83" s="25">
        <v>8168969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1096918</v>
      </c>
      <c r="E84" s="21">
        <f>INDEX(Data[],MATCH($A84,Data[Dist],0),MATCH(E$6,Data[#Headers],0))</f>
        <v>1096918</v>
      </c>
      <c r="F84" s="21">
        <f>INDEX(Data[],MATCH($A84,Data[Dist],0),MATCH(F$6,Data[#Headers],0))</f>
        <v>1096918</v>
      </c>
      <c r="G84" s="21">
        <f>INDEX(Data[],MATCH($A84,Data[Dist],0),MATCH(G$6,Data[#Headers],0))</f>
        <v>10989404</v>
      </c>
      <c r="H84" s="21">
        <f>INDEX(Data[],MATCH($A84,Data[Dist],0),MATCH(H$6,Data[#Headers],0))-G84</f>
        <v>0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2193836</v>
      </c>
      <c r="L84" s="21">
        <f>INDEX(Notes!$I$2:$N$11,MATCH(Notes!$B$2,Notes!$I$2:$I$11,0),6)*$E84</f>
        <v>3290754</v>
      </c>
      <c r="M84" s="21">
        <f>IF(Notes!$B$2="June",'Payment Total'!$F84,0)</f>
        <v>1096918</v>
      </c>
      <c r="N84" s="21">
        <f t="shared" si="4"/>
        <v>0</v>
      </c>
      <c r="P84" s="25" t="s">
        <v>904</v>
      </c>
      <c r="Q84" s="25">
        <v>1096918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2634301</v>
      </c>
      <c r="E85" s="21">
        <f>INDEX(Data[],MATCH($A85,Data[Dist],0),MATCH(E$6,Data[#Headers],0))</f>
        <v>2634300</v>
      </c>
      <c r="F85" s="21">
        <f>INDEX(Data[],MATCH($A85,Data[Dist],0),MATCH(F$6,Data[#Headers],0))</f>
        <v>2634301</v>
      </c>
      <c r="G85" s="21">
        <f>INDEX(Data[],MATCH($A85,Data[Dist],0),MATCH(G$6,Data[#Headers],0))</f>
        <v>26395395</v>
      </c>
      <c r="H85" s="21">
        <f>INDEX(Data[],MATCH($A85,Data[Dist],0),MATCH(H$6,Data[#Headers],0))-G85</f>
        <v>0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5268602</v>
      </c>
      <c r="L85" s="21">
        <f>INDEX(Notes!$I$2:$N$11,MATCH(Notes!$B$2,Notes!$I$2:$I$11,0),6)*$E85</f>
        <v>7902900</v>
      </c>
      <c r="M85" s="21">
        <f>IF(Notes!$B$2="June",'Payment Total'!$F85,0)</f>
        <v>2634301</v>
      </c>
      <c r="N85" s="21">
        <f t="shared" si="4"/>
        <v>0</v>
      </c>
      <c r="P85" s="25" t="s">
        <v>905</v>
      </c>
      <c r="Q85" s="25">
        <v>2634301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351410</v>
      </c>
      <c r="E86" s="21">
        <f>INDEX(Data[],MATCH($A86,Data[Dist],0),MATCH(E$6,Data[#Headers],0))</f>
        <v>351409</v>
      </c>
      <c r="F86" s="21">
        <f>INDEX(Data[],MATCH($A86,Data[Dist],0),MATCH(F$6,Data[#Headers],0))</f>
        <v>351410</v>
      </c>
      <c r="G86" s="21">
        <f>INDEX(Data[],MATCH($A86,Data[Dist],0),MATCH(G$6,Data[#Headers],0))</f>
        <v>3520481</v>
      </c>
      <c r="H86" s="21">
        <f>INDEX(Data[],MATCH($A86,Data[Dist],0),MATCH(H$6,Data[#Headers],0))-G86</f>
        <v>0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702820</v>
      </c>
      <c r="L86" s="21">
        <f>INDEX(Notes!$I$2:$N$11,MATCH(Notes!$B$2,Notes!$I$2:$I$11,0),6)*$E86</f>
        <v>1054227</v>
      </c>
      <c r="M86" s="21">
        <f>IF(Notes!$B$2="June",'Payment Total'!$F86,0)</f>
        <v>351410</v>
      </c>
      <c r="N86" s="21">
        <f t="shared" si="4"/>
        <v>0</v>
      </c>
      <c r="P86" s="25" t="s">
        <v>906</v>
      </c>
      <c r="Q86" s="25">
        <v>351410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11775707</v>
      </c>
      <c r="E87" s="21">
        <f>INDEX(Data[],MATCH($A87,Data[Dist],0),MATCH(E$6,Data[#Headers],0))</f>
        <v>11775707</v>
      </c>
      <c r="F87" s="21">
        <f>INDEX(Data[],MATCH($A87,Data[Dist],0),MATCH(F$6,Data[#Headers],0))</f>
        <v>11775705</v>
      </c>
      <c r="G87" s="21">
        <f>INDEX(Data[],MATCH($A87,Data[Dist],0),MATCH(G$6,Data[#Headers],0))</f>
        <v>117963304</v>
      </c>
      <c r="H87" s="21">
        <f>INDEX(Data[],MATCH($A87,Data[Dist],0),MATCH(H$6,Data[#Headers],0))-G87</f>
        <v>0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23551414</v>
      </c>
      <c r="L87" s="21">
        <f>INDEX(Notes!$I$2:$N$11,MATCH(Notes!$B$2,Notes!$I$2:$I$11,0),6)*$E87</f>
        <v>35327121</v>
      </c>
      <c r="M87" s="21">
        <f>IF(Notes!$B$2="June",'Payment Total'!$F87,0)</f>
        <v>11775705</v>
      </c>
      <c r="N87" s="21">
        <f t="shared" si="4"/>
        <v>0</v>
      </c>
      <c r="P87" s="25" t="s">
        <v>907</v>
      </c>
      <c r="Q87" s="25">
        <v>11775705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873754</v>
      </c>
      <c r="E88" s="21">
        <f>INDEX(Data[],MATCH($A88,Data[Dist],0),MATCH(E$6,Data[#Headers],0))</f>
        <v>873754</v>
      </c>
      <c r="F88" s="21">
        <f>INDEX(Data[],MATCH($A88,Data[Dist],0),MATCH(F$6,Data[#Headers],0))</f>
        <v>873753</v>
      </c>
      <c r="G88" s="21">
        <f>INDEX(Data[],MATCH($A88,Data[Dist],0),MATCH(G$6,Data[#Headers],0))</f>
        <v>8753947</v>
      </c>
      <c r="H88" s="21">
        <f>INDEX(Data[],MATCH($A88,Data[Dist],0),MATCH(H$6,Data[#Headers],0))-G88</f>
        <v>0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1747508</v>
      </c>
      <c r="L88" s="21">
        <f>INDEX(Notes!$I$2:$N$11,MATCH(Notes!$B$2,Notes!$I$2:$I$11,0),6)*$E88</f>
        <v>2621262</v>
      </c>
      <c r="M88" s="21">
        <f>IF(Notes!$B$2="June",'Payment Total'!$F88,0)</f>
        <v>873753</v>
      </c>
      <c r="N88" s="21">
        <f t="shared" si="4"/>
        <v>0</v>
      </c>
      <c r="P88" s="25" t="s">
        <v>908</v>
      </c>
      <c r="Q88" s="25">
        <v>873753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1008467</v>
      </c>
      <c r="E89" s="21">
        <f>INDEX(Data[],MATCH($A89,Data[Dist],0),MATCH(E$6,Data[#Headers],0))</f>
        <v>1008466</v>
      </c>
      <c r="F89" s="21">
        <f>INDEX(Data[],MATCH($A89,Data[Dist],0),MATCH(F$6,Data[#Headers],0))</f>
        <v>1008467</v>
      </c>
      <c r="G89" s="21">
        <f>INDEX(Data[],MATCH($A89,Data[Dist],0),MATCH(G$6,Data[#Headers],0))</f>
        <v>10106711</v>
      </c>
      <c r="H89" s="21">
        <f>INDEX(Data[],MATCH($A89,Data[Dist],0),MATCH(H$6,Data[#Headers],0))-G89</f>
        <v>0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2016934</v>
      </c>
      <c r="L89" s="21">
        <f>INDEX(Notes!$I$2:$N$11,MATCH(Notes!$B$2,Notes!$I$2:$I$11,0),6)*$E89</f>
        <v>3025398</v>
      </c>
      <c r="M89" s="21">
        <f>IF(Notes!$B$2="June",'Payment Total'!$F89,0)</f>
        <v>1008467</v>
      </c>
      <c r="N89" s="21">
        <f t="shared" si="4"/>
        <v>0</v>
      </c>
      <c r="P89" s="25" t="s">
        <v>909</v>
      </c>
      <c r="Q89" s="25">
        <v>1008467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152618</v>
      </c>
      <c r="E90" s="21">
        <f>INDEX(Data[],MATCH($A90,Data[Dist],0),MATCH(E$6,Data[#Headers],0))</f>
        <v>152619</v>
      </c>
      <c r="F90" s="21">
        <f>INDEX(Data[],MATCH($A90,Data[Dist],0),MATCH(F$6,Data[#Headers],0))</f>
        <v>152617</v>
      </c>
      <c r="G90" s="21">
        <f>INDEX(Data[],MATCH($A90,Data[Dist],0),MATCH(G$6,Data[#Headers],0))</f>
        <v>1528798</v>
      </c>
      <c r="H90" s="21">
        <f>INDEX(Data[],MATCH($A90,Data[Dist],0),MATCH(H$6,Data[#Headers],0))-G90</f>
        <v>0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305236</v>
      </c>
      <c r="L90" s="21">
        <f>INDEX(Notes!$I$2:$N$11,MATCH(Notes!$B$2,Notes!$I$2:$I$11,0),6)*$E90</f>
        <v>457857</v>
      </c>
      <c r="M90" s="21">
        <f>IF(Notes!$B$2="June",'Payment Total'!$F90,0)</f>
        <v>152617</v>
      </c>
      <c r="N90" s="21">
        <f t="shared" si="4"/>
        <v>0</v>
      </c>
      <c r="P90" s="25" t="s">
        <v>910</v>
      </c>
      <c r="Q90" s="25">
        <v>152617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1899178</v>
      </c>
      <c r="E91" s="21">
        <f>INDEX(Data[],MATCH($A91,Data[Dist],0),MATCH(E$6,Data[#Headers],0))</f>
        <v>1899178</v>
      </c>
      <c r="F91" s="21">
        <f>INDEX(Data[],MATCH($A91,Data[Dist],0),MATCH(F$6,Data[#Headers],0))</f>
        <v>1899179</v>
      </c>
      <c r="G91" s="21">
        <f>INDEX(Data[],MATCH($A91,Data[Dist],0),MATCH(G$6,Data[#Headers],0))</f>
        <v>19021833</v>
      </c>
      <c r="H91" s="21">
        <f>INDEX(Data[],MATCH($A91,Data[Dist],0),MATCH(H$6,Data[#Headers],0))-G91</f>
        <v>0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3798356</v>
      </c>
      <c r="L91" s="21">
        <f>INDEX(Notes!$I$2:$N$11,MATCH(Notes!$B$2,Notes!$I$2:$I$11,0),6)*$E91</f>
        <v>5697534</v>
      </c>
      <c r="M91" s="21">
        <f>IF(Notes!$B$2="June",'Payment Total'!$F91,0)</f>
        <v>1899179</v>
      </c>
      <c r="N91" s="21">
        <f t="shared" si="4"/>
        <v>0</v>
      </c>
      <c r="P91" s="25" t="s">
        <v>911</v>
      </c>
      <c r="Q91" s="25">
        <v>1899179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737616</v>
      </c>
      <c r="E92" s="21">
        <f>INDEX(Data[],MATCH($A92,Data[Dist],0),MATCH(E$6,Data[#Headers],0))</f>
        <v>737616</v>
      </c>
      <c r="F92" s="21">
        <f>INDEX(Data[],MATCH($A92,Data[Dist],0),MATCH(F$6,Data[#Headers],0))</f>
        <v>737615</v>
      </c>
      <c r="G92" s="21">
        <f>INDEX(Data[],MATCH($A92,Data[Dist],0),MATCH(G$6,Data[#Headers],0))</f>
        <v>7389415</v>
      </c>
      <c r="H92" s="21">
        <f>INDEX(Data[],MATCH($A92,Data[Dist],0),MATCH(H$6,Data[#Headers],0))-G92</f>
        <v>0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1475232</v>
      </c>
      <c r="L92" s="21">
        <f>INDEX(Notes!$I$2:$N$11,MATCH(Notes!$B$2,Notes!$I$2:$I$11,0),6)*$E92</f>
        <v>2212848</v>
      </c>
      <c r="M92" s="21">
        <f>IF(Notes!$B$2="June",'Payment Total'!$F92,0)</f>
        <v>737615</v>
      </c>
      <c r="N92" s="21">
        <f t="shared" si="4"/>
        <v>0</v>
      </c>
      <c r="P92" s="25" t="s">
        <v>912</v>
      </c>
      <c r="Q92" s="25">
        <v>737615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29173086</v>
      </c>
      <c r="E93" s="21">
        <f>INDEX(Data[],MATCH($A93,Data[Dist],0),MATCH(E$6,Data[#Headers],0))</f>
        <v>29173085</v>
      </c>
      <c r="F93" s="21">
        <f>INDEX(Data[],MATCH($A93,Data[Dist],0),MATCH(F$6,Data[#Headers],0))</f>
        <v>29173086</v>
      </c>
      <c r="G93" s="21">
        <f>INDEX(Data[],MATCH($A93,Data[Dist],0),MATCH(G$6,Data[#Headers],0))</f>
        <v>292199613</v>
      </c>
      <c r="H93" s="21">
        <f>INDEX(Data[],MATCH($A93,Data[Dist],0),MATCH(H$6,Data[#Headers],0))-G93</f>
        <v>0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58346172</v>
      </c>
      <c r="L93" s="21">
        <f>INDEX(Notes!$I$2:$N$11,MATCH(Notes!$B$2,Notes!$I$2:$I$11,0),6)*$E93</f>
        <v>87519255</v>
      </c>
      <c r="M93" s="21">
        <f>IF(Notes!$B$2="June",'Payment Total'!$F93,0)</f>
        <v>29173086</v>
      </c>
      <c r="N93" s="21">
        <f t="shared" si="4"/>
        <v>0</v>
      </c>
      <c r="P93" s="25" t="s">
        <v>913</v>
      </c>
      <c r="Q93" s="25">
        <v>29173086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102493</v>
      </c>
      <c r="E94" s="21">
        <f>INDEX(Data[],MATCH($A94,Data[Dist],0),MATCH(E$6,Data[#Headers],0))</f>
        <v>102493</v>
      </c>
      <c r="F94" s="21">
        <f>INDEX(Data[],MATCH($A94,Data[Dist],0),MATCH(F$6,Data[#Headers],0))</f>
        <v>102494</v>
      </c>
      <c r="G94" s="21">
        <f>INDEX(Data[],MATCH($A94,Data[Dist],0),MATCH(G$6,Data[#Headers],0))</f>
        <v>1026303</v>
      </c>
      <c r="H94" s="21">
        <f>INDEX(Data[],MATCH($A94,Data[Dist],0),MATCH(H$6,Data[#Headers],0))-G94</f>
        <v>0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204986</v>
      </c>
      <c r="L94" s="21">
        <f>INDEX(Notes!$I$2:$N$11,MATCH(Notes!$B$2,Notes!$I$2:$I$11,0),6)*$E94</f>
        <v>307479</v>
      </c>
      <c r="M94" s="21">
        <f>IF(Notes!$B$2="June",'Payment Total'!$F94,0)</f>
        <v>102494</v>
      </c>
      <c r="N94" s="21">
        <f t="shared" si="4"/>
        <v>0</v>
      </c>
      <c r="P94" s="25" t="s">
        <v>914</v>
      </c>
      <c r="Q94" s="25">
        <v>102494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712694</v>
      </c>
      <c r="E95" s="21">
        <f>INDEX(Data[],MATCH($A95,Data[Dist],0),MATCH(E$6,Data[#Headers],0))</f>
        <v>712694</v>
      </c>
      <c r="F95" s="21">
        <f>INDEX(Data[],MATCH($A95,Data[Dist],0),MATCH(F$6,Data[#Headers],0))</f>
        <v>712694</v>
      </c>
      <c r="G95" s="21">
        <f>INDEX(Data[],MATCH($A95,Data[Dist],0),MATCH(G$6,Data[#Headers],0))</f>
        <v>7139884</v>
      </c>
      <c r="H95" s="21">
        <f>INDEX(Data[],MATCH($A95,Data[Dist],0),MATCH(H$6,Data[#Headers],0))-G95</f>
        <v>0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1425388</v>
      </c>
      <c r="L95" s="21">
        <f>INDEX(Notes!$I$2:$N$11,MATCH(Notes!$B$2,Notes!$I$2:$I$11,0),6)*$E95</f>
        <v>2138082</v>
      </c>
      <c r="M95" s="21">
        <f>IF(Notes!$B$2="June",'Payment Total'!$F95,0)</f>
        <v>712694</v>
      </c>
      <c r="N95" s="21">
        <f t="shared" si="4"/>
        <v>0</v>
      </c>
      <c r="P95" s="25" t="s">
        <v>915</v>
      </c>
      <c r="Q95" s="25">
        <v>712694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8476235</v>
      </c>
      <c r="E96" s="21">
        <f>INDEX(Data[],MATCH($A96,Data[Dist],0),MATCH(E$6,Data[#Headers],0))</f>
        <v>8476235</v>
      </c>
      <c r="F96" s="21">
        <f>INDEX(Data[],MATCH($A96,Data[Dist],0),MATCH(F$6,Data[#Headers],0))</f>
        <v>8476236</v>
      </c>
      <c r="G96" s="21">
        <f>INDEX(Data[],MATCH($A96,Data[Dist],0),MATCH(G$6,Data[#Headers],0))</f>
        <v>84912287</v>
      </c>
      <c r="H96" s="21">
        <f>INDEX(Data[],MATCH($A96,Data[Dist],0),MATCH(H$6,Data[#Headers],0))-G96</f>
        <v>0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16952470</v>
      </c>
      <c r="L96" s="21">
        <f>INDEX(Notes!$I$2:$N$11,MATCH(Notes!$B$2,Notes!$I$2:$I$11,0),6)*$E96</f>
        <v>25428705</v>
      </c>
      <c r="M96" s="21">
        <f>IF(Notes!$B$2="June",'Payment Total'!$F96,0)</f>
        <v>8476236</v>
      </c>
      <c r="N96" s="21">
        <f t="shared" si="4"/>
        <v>0</v>
      </c>
      <c r="P96" s="25" t="s">
        <v>916</v>
      </c>
      <c r="Q96" s="25">
        <v>8476236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285811</v>
      </c>
      <c r="E97" s="21">
        <f>INDEX(Data[],MATCH($A97,Data[Dist],0),MATCH(E$6,Data[#Headers],0))</f>
        <v>285811</v>
      </c>
      <c r="F97" s="21">
        <f>INDEX(Data[],MATCH($A97,Data[Dist],0),MATCH(F$6,Data[#Headers],0))</f>
        <v>285809</v>
      </c>
      <c r="G97" s="21">
        <f>INDEX(Data[],MATCH($A97,Data[Dist],0),MATCH(G$6,Data[#Headers],0))</f>
        <v>2863344</v>
      </c>
      <c r="H97" s="21">
        <f>INDEX(Data[],MATCH($A97,Data[Dist],0),MATCH(H$6,Data[#Headers],0))-G97</f>
        <v>0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571622</v>
      </c>
      <c r="L97" s="21">
        <f>INDEX(Notes!$I$2:$N$11,MATCH(Notes!$B$2,Notes!$I$2:$I$11,0),6)*$E97</f>
        <v>857433</v>
      </c>
      <c r="M97" s="21">
        <f>IF(Notes!$B$2="June",'Payment Total'!$F97,0)</f>
        <v>285809</v>
      </c>
      <c r="N97" s="21">
        <f t="shared" si="4"/>
        <v>0</v>
      </c>
      <c r="P97" s="25" t="s">
        <v>917</v>
      </c>
      <c r="Q97" s="25">
        <v>285809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264341</v>
      </c>
      <c r="E98" s="21">
        <f>INDEX(Data[],MATCH($A98,Data[Dist],0),MATCH(E$6,Data[#Headers],0))</f>
        <v>264341</v>
      </c>
      <c r="F98" s="21">
        <f>INDEX(Data[],MATCH($A98,Data[Dist],0),MATCH(F$6,Data[#Headers],0))</f>
        <v>264342</v>
      </c>
      <c r="G98" s="21">
        <f>INDEX(Data[],MATCH($A98,Data[Dist],0),MATCH(G$6,Data[#Headers],0))</f>
        <v>2649299</v>
      </c>
      <c r="H98" s="21">
        <f>INDEX(Data[],MATCH($A98,Data[Dist],0),MATCH(H$6,Data[#Headers],0))-G98</f>
        <v>0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528682</v>
      </c>
      <c r="L98" s="21">
        <f>INDEX(Notes!$I$2:$N$11,MATCH(Notes!$B$2,Notes!$I$2:$I$11,0),6)*$E98</f>
        <v>793023</v>
      </c>
      <c r="M98" s="21">
        <f>IF(Notes!$B$2="June",'Payment Total'!$F98,0)</f>
        <v>264342</v>
      </c>
      <c r="N98" s="21">
        <f t="shared" si="4"/>
        <v>0</v>
      </c>
      <c r="P98" s="25" t="s">
        <v>918</v>
      </c>
      <c r="Q98" s="25">
        <v>264342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338050</v>
      </c>
      <c r="E99" s="21">
        <f>INDEX(Data[],MATCH($A99,Data[Dist],0),MATCH(E$6,Data[#Headers],0))</f>
        <v>338050</v>
      </c>
      <c r="F99" s="21">
        <f>INDEX(Data[],MATCH($A99,Data[Dist],0),MATCH(F$6,Data[#Headers],0))</f>
        <v>338048</v>
      </c>
      <c r="G99" s="21">
        <f>INDEX(Data[],MATCH($A99,Data[Dist],0),MATCH(G$6,Data[#Headers],0))</f>
        <v>3387654</v>
      </c>
      <c r="H99" s="21">
        <f>INDEX(Data[],MATCH($A99,Data[Dist],0),MATCH(H$6,Data[#Headers],0))-G99</f>
        <v>0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676100</v>
      </c>
      <c r="L99" s="21">
        <f>INDEX(Notes!$I$2:$N$11,MATCH(Notes!$B$2,Notes!$I$2:$I$11,0),6)*$E99</f>
        <v>1014150</v>
      </c>
      <c r="M99" s="21">
        <f>IF(Notes!$B$2="June",'Payment Total'!$F99,0)</f>
        <v>338048</v>
      </c>
      <c r="N99" s="21">
        <f t="shared" si="4"/>
        <v>0</v>
      </c>
      <c r="P99" s="25" t="s">
        <v>919</v>
      </c>
      <c r="Q99" s="25">
        <v>338048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716491</v>
      </c>
      <c r="E100" s="21">
        <f>INDEX(Data[],MATCH($A100,Data[Dist],0),MATCH(E$6,Data[#Headers],0))</f>
        <v>716492</v>
      </c>
      <c r="F100" s="21">
        <f>INDEX(Data[],MATCH($A100,Data[Dist],0),MATCH(F$6,Data[#Headers],0))</f>
        <v>716490</v>
      </c>
      <c r="G100" s="21">
        <f>INDEX(Data[],MATCH($A100,Data[Dist],0),MATCH(G$6,Data[#Headers],0))</f>
        <v>7178732</v>
      </c>
      <c r="H100" s="21">
        <f>INDEX(Data[],MATCH($A100,Data[Dist],0),MATCH(H$6,Data[#Headers],0))-G100</f>
        <v>0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1432982</v>
      </c>
      <c r="L100" s="21">
        <f>INDEX(Notes!$I$2:$N$11,MATCH(Notes!$B$2,Notes!$I$2:$I$11,0),6)*$E100</f>
        <v>2149476</v>
      </c>
      <c r="M100" s="21">
        <f>IF(Notes!$B$2="June",'Payment Total'!$F100,0)</f>
        <v>716490</v>
      </c>
      <c r="N100" s="21">
        <f t="shared" si="4"/>
        <v>0</v>
      </c>
      <c r="P100" s="25" t="s">
        <v>920</v>
      </c>
      <c r="Q100" s="25">
        <v>716490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847320</v>
      </c>
      <c r="E101" s="21">
        <f>INDEX(Data[],MATCH($A101,Data[Dist],0),MATCH(E$6,Data[#Headers],0))</f>
        <v>847320</v>
      </c>
      <c r="F101" s="21">
        <f>INDEX(Data[],MATCH($A101,Data[Dist],0),MATCH(F$6,Data[#Headers],0))</f>
        <v>847319</v>
      </c>
      <c r="G101" s="21">
        <f>INDEX(Data[],MATCH($A101,Data[Dist],0),MATCH(G$6,Data[#Headers],0))</f>
        <v>8488019</v>
      </c>
      <c r="H101" s="21">
        <f>INDEX(Data[],MATCH($A101,Data[Dist],0),MATCH(H$6,Data[#Headers],0))-G101</f>
        <v>0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1694640</v>
      </c>
      <c r="L101" s="21">
        <f>INDEX(Notes!$I$2:$N$11,MATCH(Notes!$B$2,Notes!$I$2:$I$11,0),6)*$E101</f>
        <v>2541960</v>
      </c>
      <c r="M101" s="21">
        <f>IF(Notes!$B$2="June",'Payment Total'!$F101,0)</f>
        <v>847319</v>
      </c>
      <c r="N101" s="21">
        <f t="shared" si="4"/>
        <v>0</v>
      </c>
      <c r="P101" s="25" t="s">
        <v>921</v>
      </c>
      <c r="Q101" s="25">
        <v>847319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473243</v>
      </c>
      <c r="E102" s="21">
        <f>INDEX(Data[],MATCH($A102,Data[Dist],0),MATCH(E$6,Data[#Headers],0))</f>
        <v>473242</v>
      </c>
      <c r="F102" s="21">
        <f>INDEX(Data[],MATCH($A102,Data[Dist],0),MATCH(F$6,Data[#Headers],0))</f>
        <v>473243</v>
      </c>
      <c r="G102" s="21">
        <f>INDEX(Data[],MATCH($A102,Data[Dist],0),MATCH(G$6,Data[#Headers],0))</f>
        <v>4741151</v>
      </c>
      <c r="H102" s="21">
        <f>INDEX(Data[],MATCH($A102,Data[Dist],0),MATCH(H$6,Data[#Headers],0))-G102</f>
        <v>0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946486</v>
      </c>
      <c r="L102" s="21">
        <f>INDEX(Notes!$I$2:$N$11,MATCH(Notes!$B$2,Notes!$I$2:$I$11,0),6)*$E102</f>
        <v>1419726</v>
      </c>
      <c r="M102" s="21">
        <f>IF(Notes!$B$2="June",'Payment Total'!$F102,0)</f>
        <v>473243</v>
      </c>
      <c r="N102" s="21">
        <f t="shared" si="4"/>
        <v>0</v>
      </c>
      <c r="P102" s="25" t="s">
        <v>922</v>
      </c>
      <c r="Q102" s="25">
        <v>473243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401927</v>
      </c>
      <c r="E103" s="21">
        <f>INDEX(Data[],MATCH($A103,Data[Dist],0),MATCH(E$6,Data[#Headers],0))</f>
        <v>401927</v>
      </c>
      <c r="F103" s="21">
        <f>INDEX(Data[],MATCH($A103,Data[Dist],0),MATCH(F$6,Data[#Headers],0))</f>
        <v>401925</v>
      </c>
      <c r="G103" s="21">
        <f>INDEX(Data[],MATCH($A103,Data[Dist],0),MATCH(G$6,Data[#Headers],0))</f>
        <v>4027008</v>
      </c>
      <c r="H103" s="21">
        <f>INDEX(Data[],MATCH($A103,Data[Dist],0),MATCH(H$6,Data[#Headers],0))-G103</f>
        <v>0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803854</v>
      </c>
      <c r="L103" s="21">
        <f>INDEX(Notes!$I$2:$N$11,MATCH(Notes!$B$2,Notes!$I$2:$I$11,0),6)*$E103</f>
        <v>1205781</v>
      </c>
      <c r="M103" s="21">
        <f>IF(Notes!$B$2="June",'Payment Total'!$F103,0)</f>
        <v>401925</v>
      </c>
      <c r="N103" s="21">
        <f t="shared" si="4"/>
        <v>0</v>
      </c>
      <c r="P103" s="25" t="s">
        <v>923</v>
      </c>
      <c r="Q103" s="25">
        <v>401925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442767</v>
      </c>
      <c r="E104" s="21">
        <f>INDEX(Data[],MATCH($A104,Data[Dist],0),MATCH(E$6,Data[#Headers],0))</f>
        <v>442768</v>
      </c>
      <c r="F104" s="21">
        <f>INDEX(Data[],MATCH($A104,Data[Dist],0),MATCH(F$6,Data[#Headers],0))</f>
        <v>442766</v>
      </c>
      <c r="G104" s="21">
        <f>INDEX(Data[],MATCH($A104,Data[Dist],0),MATCH(G$6,Data[#Headers],0))</f>
        <v>4435752</v>
      </c>
      <c r="H104" s="21">
        <f>INDEX(Data[],MATCH($A104,Data[Dist],0),MATCH(H$6,Data[#Headers],0))-G104</f>
        <v>0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885534</v>
      </c>
      <c r="L104" s="21">
        <f>INDEX(Notes!$I$2:$N$11,MATCH(Notes!$B$2,Notes!$I$2:$I$11,0),6)*$E104</f>
        <v>1328304</v>
      </c>
      <c r="M104" s="21">
        <f>IF(Notes!$B$2="June",'Payment Total'!$F104,0)</f>
        <v>442766</v>
      </c>
      <c r="N104" s="21">
        <f t="shared" si="4"/>
        <v>0</v>
      </c>
      <c r="P104" s="25" t="s">
        <v>924</v>
      </c>
      <c r="Q104" s="25">
        <v>442766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395933</v>
      </c>
      <c r="E105" s="21">
        <f>INDEX(Data[],MATCH($A105,Data[Dist],0),MATCH(E$6,Data[#Headers],0))</f>
        <v>395933</v>
      </c>
      <c r="F105" s="21">
        <f>INDEX(Data[],MATCH($A105,Data[Dist],0),MATCH(F$6,Data[#Headers],0))</f>
        <v>395932</v>
      </c>
      <c r="G105" s="21">
        <f>INDEX(Data[],MATCH($A105,Data[Dist],0),MATCH(G$6,Data[#Headers],0))</f>
        <v>3966157</v>
      </c>
      <c r="H105" s="21">
        <f>INDEX(Data[],MATCH($A105,Data[Dist],0),MATCH(H$6,Data[#Headers],0))-G105</f>
        <v>0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791866</v>
      </c>
      <c r="L105" s="21">
        <f>INDEX(Notes!$I$2:$N$11,MATCH(Notes!$B$2,Notes!$I$2:$I$11,0),6)*$E105</f>
        <v>1187799</v>
      </c>
      <c r="M105" s="21">
        <f>IF(Notes!$B$2="June",'Payment Total'!$F105,0)</f>
        <v>395932</v>
      </c>
      <c r="N105" s="21">
        <f t="shared" si="4"/>
        <v>0</v>
      </c>
      <c r="P105" s="25" t="s">
        <v>925</v>
      </c>
      <c r="Q105" s="25">
        <v>395932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247683</v>
      </c>
      <c r="E106" s="21">
        <f>INDEX(Data[],MATCH($A106,Data[Dist],0),MATCH(E$6,Data[#Headers],0))</f>
        <v>247683</v>
      </c>
      <c r="F106" s="21">
        <f>INDEX(Data[],MATCH($A106,Data[Dist],0),MATCH(F$6,Data[#Headers],0))</f>
        <v>247681</v>
      </c>
      <c r="G106" s="21">
        <f>INDEX(Data[],MATCH($A106,Data[Dist],0),MATCH(G$6,Data[#Headers],0))</f>
        <v>2481492</v>
      </c>
      <c r="H106" s="21">
        <f>INDEX(Data[],MATCH($A106,Data[Dist],0),MATCH(H$6,Data[#Headers],0))-G106</f>
        <v>0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495366</v>
      </c>
      <c r="L106" s="21">
        <f>INDEX(Notes!$I$2:$N$11,MATCH(Notes!$B$2,Notes!$I$2:$I$11,0),6)*$E106</f>
        <v>743049</v>
      </c>
      <c r="M106" s="21">
        <f>IF(Notes!$B$2="June",'Payment Total'!$F106,0)</f>
        <v>247681</v>
      </c>
      <c r="N106" s="21">
        <f t="shared" si="4"/>
        <v>0</v>
      </c>
      <c r="P106" s="25" t="s">
        <v>926</v>
      </c>
      <c r="Q106" s="25">
        <v>247681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268357</v>
      </c>
      <c r="E107" s="21">
        <f>INDEX(Data[],MATCH($A107,Data[Dist],0),MATCH(E$6,Data[#Headers],0))</f>
        <v>268357</v>
      </c>
      <c r="F107" s="21">
        <f>INDEX(Data[],MATCH($A107,Data[Dist],0),MATCH(F$6,Data[#Headers],0))</f>
        <v>268358</v>
      </c>
      <c r="G107" s="21">
        <f>INDEX(Data[],MATCH($A107,Data[Dist],0),MATCH(G$6,Data[#Headers],0))</f>
        <v>2689075</v>
      </c>
      <c r="H107" s="21">
        <f>INDEX(Data[],MATCH($A107,Data[Dist],0),MATCH(H$6,Data[#Headers],0))-G107</f>
        <v>0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536714</v>
      </c>
      <c r="L107" s="21">
        <f>INDEX(Notes!$I$2:$N$11,MATCH(Notes!$B$2,Notes!$I$2:$I$11,0),6)*$E107</f>
        <v>805071</v>
      </c>
      <c r="M107" s="21">
        <f>IF(Notes!$B$2="June",'Payment Total'!$F107,0)</f>
        <v>268358</v>
      </c>
      <c r="N107" s="21">
        <f t="shared" si="4"/>
        <v>0</v>
      </c>
      <c r="P107" s="25" t="s">
        <v>927</v>
      </c>
      <c r="Q107" s="25">
        <v>268358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325465</v>
      </c>
      <c r="E108" s="21">
        <f>INDEX(Data[],MATCH($A108,Data[Dist],0),MATCH(E$6,Data[#Headers],0))</f>
        <v>325465</v>
      </c>
      <c r="F108" s="21">
        <f>INDEX(Data[],MATCH($A108,Data[Dist],0),MATCH(F$6,Data[#Headers],0))</f>
        <v>325464</v>
      </c>
      <c r="G108" s="21">
        <f>INDEX(Data[],MATCH($A108,Data[Dist],0),MATCH(G$6,Data[#Headers],0))</f>
        <v>3260397</v>
      </c>
      <c r="H108" s="21">
        <f>INDEX(Data[],MATCH($A108,Data[Dist],0),MATCH(H$6,Data[#Headers],0))-G108</f>
        <v>0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650930</v>
      </c>
      <c r="L108" s="21">
        <f>INDEX(Notes!$I$2:$N$11,MATCH(Notes!$B$2,Notes!$I$2:$I$11,0),6)*$E108</f>
        <v>976395</v>
      </c>
      <c r="M108" s="21">
        <f>IF(Notes!$B$2="June",'Payment Total'!$F108,0)</f>
        <v>325464</v>
      </c>
      <c r="N108" s="21">
        <f t="shared" si="4"/>
        <v>0</v>
      </c>
      <c r="P108" s="25" t="s">
        <v>928</v>
      </c>
      <c r="Q108" s="25">
        <v>325464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430466</v>
      </c>
      <c r="E109" s="21">
        <f>INDEX(Data[],MATCH($A109,Data[Dist],0),MATCH(E$6,Data[#Headers],0))</f>
        <v>430467</v>
      </c>
      <c r="F109" s="21">
        <f>INDEX(Data[],MATCH($A109,Data[Dist],0),MATCH(F$6,Data[#Headers],0))</f>
        <v>430465</v>
      </c>
      <c r="G109" s="21">
        <f>INDEX(Data[],MATCH($A109,Data[Dist],0),MATCH(G$6,Data[#Headers],0))</f>
        <v>4312702</v>
      </c>
      <c r="H109" s="21">
        <f>INDEX(Data[],MATCH($A109,Data[Dist],0),MATCH(H$6,Data[#Headers],0))-G109</f>
        <v>0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860932</v>
      </c>
      <c r="L109" s="21">
        <f>INDEX(Notes!$I$2:$N$11,MATCH(Notes!$B$2,Notes!$I$2:$I$11,0),6)*$E109</f>
        <v>1291401</v>
      </c>
      <c r="M109" s="21">
        <f>IF(Notes!$B$2="June",'Payment Total'!$F109,0)</f>
        <v>430465</v>
      </c>
      <c r="N109" s="21">
        <f t="shared" si="4"/>
        <v>0</v>
      </c>
      <c r="P109" s="25" t="s">
        <v>929</v>
      </c>
      <c r="Q109" s="25">
        <v>430465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419880</v>
      </c>
      <c r="E110" s="21">
        <f>INDEX(Data[],MATCH($A110,Data[Dist],0),MATCH(E$6,Data[#Headers],0))</f>
        <v>419879</v>
      </c>
      <c r="F110" s="21">
        <f>INDEX(Data[],MATCH($A110,Data[Dist],0),MATCH(F$6,Data[#Headers],0))</f>
        <v>419880</v>
      </c>
      <c r="G110" s="21">
        <f>INDEX(Data[],MATCH($A110,Data[Dist],0),MATCH(G$6,Data[#Headers],0))</f>
        <v>4207973</v>
      </c>
      <c r="H110" s="21">
        <f>INDEX(Data[],MATCH($A110,Data[Dist],0),MATCH(H$6,Data[#Headers],0))-G110</f>
        <v>0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839760</v>
      </c>
      <c r="L110" s="21">
        <f>INDEX(Notes!$I$2:$N$11,MATCH(Notes!$B$2,Notes!$I$2:$I$11,0),6)*$E110</f>
        <v>1259637</v>
      </c>
      <c r="M110" s="21">
        <f>IF(Notes!$B$2="June",'Payment Total'!$F110,0)</f>
        <v>419880</v>
      </c>
      <c r="N110" s="21">
        <f t="shared" si="4"/>
        <v>0</v>
      </c>
      <c r="P110" s="25" t="s">
        <v>930</v>
      </c>
      <c r="Q110" s="25">
        <v>419880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340733</v>
      </c>
      <c r="E111" s="21">
        <f>INDEX(Data[],MATCH($A111,Data[Dist],0),MATCH(E$6,Data[#Headers],0))</f>
        <v>340734</v>
      </c>
      <c r="F111" s="21">
        <f>INDEX(Data[],MATCH($A111,Data[Dist],0),MATCH(F$6,Data[#Headers],0))</f>
        <v>340732</v>
      </c>
      <c r="G111" s="21">
        <f>INDEX(Data[],MATCH($A111,Data[Dist],0),MATCH(G$6,Data[#Headers],0))</f>
        <v>3414072</v>
      </c>
      <c r="H111" s="21">
        <f>INDEX(Data[],MATCH($A111,Data[Dist],0),MATCH(H$6,Data[#Headers],0))-G111</f>
        <v>0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681466</v>
      </c>
      <c r="L111" s="21">
        <f>INDEX(Notes!$I$2:$N$11,MATCH(Notes!$B$2,Notes!$I$2:$I$11,0),6)*$E111</f>
        <v>1022202</v>
      </c>
      <c r="M111" s="21">
        <f>IF(Notes!$B$2="June",'Payment Total'!$F111,0)</f>
        <v>340732</v>
      </c>
      <c r="N111" s="21">
        <f t="shared" si="4"/>
        <v>0</v>
      </c>
      <c r="P111" s="25" t="s">
        <v>931</v>
      </c>
      <c r="Q111" s="25">
        <v>340732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140789</v>
      </c>
      <c r="E112" s="21">
        <f>INDEX(Data[],MATCH($A112,Data[Dist],0),MATCH(E$6,Data[#Headers],0))</f>
        <v>140789</v>
      </c>
      <c r="F112" s="21">
        <f>INDEX(Data[],MATCH($A112,Data[Dist],0),MATCH(F$6,Data[#Headers],0))</f>
        <v>140788</v>
      </c>
      <c r="G112" s="21">
        <f>INDEX(Data[],MATCH($A112,Data[Dist],0),MATCH(G$6,Data[#Headers],0))</f>
        <v>1410365</v>
      </c>
      <c r="H112" s="21">
        <f>INDEX(Data[],MATCH($A112,Data[Dist],0),MATCH(H$6,Data[#Headers],0))-G112</f>
        <v>0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281578</v>
      </c>
      <c r="L112" s="21">
        <f>INDEX(Notes!$I$2:$N$11,MATCH(Notes!$B$2,Notes!$I$2:$I$11,0),6)*$E112</f>
        <v>422367</v>
      </c>
      <c r="M112" s="21">
        <f>IF(Notes!$B$2="June",'Payment Total'!$F112,0)</f>
        <v>140788</v>
      </c>
      <c r="N112" s="21">
        <f t="shared" si="4"/>
        <v>0</v>
      </c>
      <c r="P112" s="25" t="s">
        <v>932</v>
      </c>
      <c r="Q112" s="25">
        <v>140788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977355</v>
      </c>
      <c r="E113" s="21">
        <f>INDEX(Data[],MATCH($A113,Data[Dist],0),MATCH(E$6,Data[#Headers],0))</f>
        <v>977355</v>
      </c>
      <c r="F113" s="21">
        <f>INDEX(Data[],MATCH($A113,Data[Dist],0),MATCH(F$6,Data[#Headers],0))</f>
        <v>977355</v>
      </c>
      <c r="G113" s="21">
        <f>INDEX(Data[],MATCH($A113,Data[Dist],0),MATCH(G$6,Data[#Headers],0))</f>
        <v>9790994</v>
      </c>
      <c r="H113" s="21">
        <f>INDEX(Data[],MATCH($A113,Data[Dist],0),MATCH(H$6,Data[#Headers],0))-G113</f>
        <v>0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1954710</v>
      </c>
      <c r="L113" s="21">
        <f>INDEX(Notes!$I$2:$N$11,MATCH(Notes!$B$2,Notes!$I$2:$I$11,0),6)*$E113</f>
        <v>2932065</v>
      </c>
      <c r="M113" s="21">
        <f>IF(Notes!$B$2="June",'Payment Total'!$F113,0)</f>
        <v>977355</v>
      </c>
      <c r="N113" s="21">
        <f t="shared" si="4"/>
        <v>0</v>
      </c>
      <c r="P113" s="25" t="s">
        <v>933</v>
      </c>
      <c r="Q113" s="25">
        <v>977355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314033</v>
      </c>
      <c r="E114" s="21">
        <f>INDEX(Data[],MATCH($A114,Data[Dist],0),MATCH(E$6,Data[#Headers],0))</f>
        <v>314033</v>
      </c>
      <c r="F114" s="21">
        <f>INDEX(Data[],MATCH($A114,Data[Dist],0),MATCH(F$6,Data[#Headers],0))</f>
        <v>314031</v>
      </c>
      <c r="G114" s="21">
        <f>INDEX(Data[],MATCH($A114,Data[Dist],0),MATCH(G$6,Data[#Headers],0))</f>
        <v>3146768</v>
      </c>
      <c r="H114" s="21">
        <f>INDEX(Data[],MATCH($A114,Data[Dist],0),MATCH(H$6,Data[#Headers],0))-G114</f>
        <v>0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628066</v>
      </c>
      <c r="L114" s="21">
        <f>INDEX(Notes!$I$2:$N$11,MATCH(Notes!$B$2,Notes!$I$2:$I$11,0),6)*$E114</f>
        <v>942099</v>
      </c>
      <c r="M114" s="21">
        <f>IF(Notes!$B$2="June",'Payment Total'!$F114,0)</f>
        <v>314031</v>
      </c>
      <c r="N114" s="21">
        <f t="shared" si="4"/>
        <v>0</v>
      </c>
      <c r="P114" s="25" t="s">
        <v>934</v>
      </c>
      <c r="Q114" s="25">
        <v>314031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1066959</v>
      </c>
      <c r="E115" s="21">
        <f>INDEX(Data[],MATCH($A115,Data[Dist],0),MATCH(E$6,Data[#Headers],0))</f>
        <v>1066959</v>
      </c>
      <c r="F115" s="21">
        <f>INDEX(Data[],MATCH($A115,Data[Dist],0),MATCH(F$6,Data[#Headers],0))</f>
        <v>1066959</v>
      </c>
      <c r="G115" s="21">
        <f>INDEX(Data[],MATCH($A115,Data[Dist],0),MATCH(G$6,Data[#Headers],0))</f>
        <v>10692082</v>
      </c>
      <c r="H115" s="21">
        <f>INDEX(Data[],MATCH($A115,Data[Dist],0),MATCH(H$6,Data[#Headers],0))-G115</f>
        <v>0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2133918</v>
      </c>
      <c r="L115" s="21">
        <f>INDEX(Notes!$I$2:$N$11,MATCH(Notes!$B$2,Notes!$I$2:$I$11,0),6)*$E115</f>
        <v>3200877</v>
      </c>
      <c r="M115" s="21">
        <f>IF(Notes!$B$2="June",'Payment Total'!$F115,0)</f>
        <v>1066959</v>
      </c>
      <c r="N115" s="21">
        <f t="shared" si="4"/>
        <v>0</v>
      </c>
      <c r="P115" s="25" t="s">
        <v>935</v>
      </c>
      <c r="Q115" s="25">
        <v>1066959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823841</v>
      </c>
      <c r="E116" s="21">
        <f>INDEX(Data[],MATCH($A116,Data[Dist],0),MATCH(E$6,Data[#Headers],0))</f>
        <v>823842</v>
      </c>
      <c r="F116" s="21">
        <f>INDEX(Data[],MATCH($A116,Data[Dist],0),MATCH(F$6,Data[#Headers],0))</f>
        <v>823840</v>
      </c>
      <c r="G116" s="21">
        <f>INDEX(Data[],MATCH($A116,Data[Dist],0),MATCH(G$6,Data[#Headers],0))</f>
        <v>8253904</v>
      </c>
      <c r="H116" s="21">
        <f>INDEX(Data[],MATCH($A116,Data[Dist],0),MATCH(H$6,Data[#Headers],0))-G116</f>
        <v>0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1647682</v>
      </c>
      <c r="L116" s="21">
        <f>INDEX(Notes!$I$2:$N$11,MATCH(Notes!$B$2,Notes!$I$2:$I$11,0),6)*$E116</f>
        <v>2471526</v>
      </c>
      <c r="M116" s="21">
        <f>IF(Notes!$B$2="June",'Payment Total'!$F116,0)</f>
        <v>823840</v>
      </c>
      <c r="N116" s="21">
        <f t="shared" si="4"/>
        <v>0</v>
      </c>
      <c r="P116" s="25" t="s">
        <v>936</v>
      </c>
      <c r="Q116" s="25">
        <v>823840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3025608</v>
      </c>
      <c r="E117" s="21">
        <f>INDEX(Data[],MATCH($A117,Data[Dist],0),MATCH(E$6,Data[#Headers],0))</f>
        <v>3025608</v>
      </c>
      <c r="F117" s="21">
        <f>INDEX(Data[],MATCH($A117,Data[Dist],0),MATCH(F$6,Data[#Headers],0))</f>
        <v>3025608</v>
      </c>
      <c r="G117" s="21">
        <f>INDEX(Data[],MATCH($A117,Data[Dist],0),MATCH(G$6,Data[#Headers],0))</f>
        <v>30308116</v>
      </c>
      <c r="H117" s="21">
        <f>INDEX(Data[],MATCH($A117,Data[Dist],0),MATCH(H$6,Data[#Headers],0))-G117</f>
        <v>0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6051216</v>
      </c>
      <c r="L117" s="21">
        <f>INDEX(Notes!$I$2:$N$11,MATCH(Notes!$B$2,Notes!$I$2:$I$11,0),6)*$E117</f>
        <v>9076824</v>
      </c>
      <c r="M117" s="21">
        <f>IF(Notes!$B$2="June",'Payment Total'!$F117,0)</f>
        <v>3025608</v>
      </c>
      <c r="N117" s="21">
        <f t="shared" si="4"/>
        <v>0</v>
      </c>
      <c r="P117" s="25" t="s">
        <v>937</v>
      </c>
      <c r="Q117" s="25">
        <v>3025608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1697511</v>
      </c>
      <c r="E118" s="21">
        <f>INDEX(Data[],MATCH($A118,Data[Dist],0),MATCH(E$6,Data[#Headers],0))</f>
        <v>1697510</v>
      </c>
      <c r="F118" s="21">
        <f>INDEX(Data[],MATCH($A118,Data[Dist],0),MATCH(F$6,Data[#Headers],0))</f>
        <v>1697511</v>
      </c>
      <c r="G118" s="21">
        <f>INDEX(Data[],MATCH($A118,Data[Dist],0),MATCH(G$6,Data[#Headers],0))</f>
        <v>17006731</v>
      </c>
      <c r="H118" s="21">
        <f>INDEX(Data[],MATCH($A118,Data[Dist],0),MATCH(H$6,Data[#Headers],0))-G118</f>
        <v>0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3395022</v>
      </c>
      <c r="L118" s="21">
        <f>INDEX(Notes!$I$2:$N$11,MATCH(Notes!$B$2,Notes!$I$2:$I$11,0),6)*$E118</f>
        <v>5092530</v>
      </c>
      <c r="M118" s="21">
        <f>IF(Notes!$B$2="June",'Payment Total'!$F118,0)</f>
        <v>1697511</v>
      </c>
      <c r="N118" s="21">
        <f t="shared" si="4"/>
        <v>0</v>
      </c>
      <c r="P118" s="25" t="s">
        <v>938</v>
      </c>
      <c r="Q118" s="25">
        <v>1697511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353304</v>
      </c>
      <c r="E119" s="21">
        <f>INDEX(Data[],MATCH($A119,Data[Dist],0),MATCH(E$6,Data[#Headers],0))</f>
        <v>353305</v>
      </c>
      <c r="F119" s="21">
        <f>INDEX(Data[],MATCH($A119,Data[Dist],0),MATCH(F$6,Data[#Headers],0))</f>
        <v>353303</v>
      </c>
      <c r="G119" s="21">
        <f>INDEX(Data[],MATCH($A119,Data[Dist],0),MATCH(G$6,Data[#Headers],0))</f>
        <v>3539730</v>
      </c>
      <c r="H119" s="21">
        <f>INDEX(Data[],MATCH($A119,Data[Dist],0),MATCH(H$6,Data[#Headers],0))-G119</f>
        <v>0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706608</v>
      </c>
      <c r="L119" s="21">
        <f>INDEX(Notes!$I$2:$N$11,MATCH(Notes!$B$2,Notes!$I$2:$I$11,0),6)*$E119</f>
        <v>1059915</v>
      </c>
      <c r="M119" s="21">
        <f>IF(Notes!$B$2="June",'Payment Total'!$F119,0)</f>
        <v>353303</v>
      </c>
      <c r="N119" s="21">
        <f t="shared" si="4"/>
        <v>0</v>
      </c>
      <c r="P119" s="25" t="s">
        <v>939</v>
      </c>
      <c r="Q119" s="25">
        <v>353303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319118</v>
      </c>
      <c r="E120" s="21">
        <f>INDEX(Data[],MATCH($A120,Data[Dist],0),MATCH(E$6,Data[#Headers],0))</f>
        <v>319118</v>
      </c>
      <c r="F120" s="21">
        <f>INDEX(Data[],MATCH($A120,Data[Dist],0),MATCH(F$6,Data[#Headers],0))</f>
        <v>319119</v>
      </c>
      <c r="G120" s="21">
        <f>INDEX(Data[],MATCH($A120,Data[Dist],0),MATCH(G$6,Data[#Headers],0))</f>
        <v>3198333</v>
      </c>
      <c r="H120" s="21">
        <f>INDEX(Data[],MATCH($A120,Data[Dist],0),MATCH(H$6,Data[#Headers],0))-G120</f>
        <v>0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638236</v>
      </c>
      <c r="L120" s="21">
        <f>INDEX(Notes!$I$2:$N$11,MATCH(Notes!$B$2,Notes!$I$2:$I$11,0),6)*$E120</f>
        <v>957354</v>
      </c>
      <c r="M120" s="21">
        <f>IF(Notes!$B$2="June",'Payment Total'!$F120,0)</f>
        <v>319119</v>
      </c>
      <c r="N120" s="21">
        <f t="shared" si="4"/>
        <v>0</v>
      </c>
      <c r="P120" s="25" t="s">
        <v>940</v>
      </c>
      <c r="Q120" s="25">
        <v>319119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508326</v>
      </c>
      <c r="E121" s="21">
        <f>INDEX(Data[],MATCH($A121,Data[Dist],0),MATCH(E$6,Data[#Headers],0))</f>
        <v>508326</v>
      </c>
      <c r="F121" s="21">
        <f>INDEX(Data[],MATCH($A121,Data[Dist],0),MATCH(F$6,Data[#Headers],0))</f>
        <v>508325</v>
      </c>
      <c r="G121" s="21">
        <f>INDEX(Data[],MATCH($A121,Data[Dist],0),MATCH(G$6,Data[#Headers],0))</f>
        <v>5095791</v>
      </c>
      <c r="H121" s="21">
        <f>INDEX(Data[],MATCH($A121,Data[Dist],0),MATCH(H$6,Data[#Headers],0))-G121</f>
        <v>0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1016652</v>
      </c>
      <c r="L121" s="21">
        <f>INDEX(Notes!$I$2:$N$11,MATCH(Notes!$B$2,Notes!$I$2:$I$11,0),6)*$E121</f>
        <v>1524978</v>
      </c>
      <c r="M121" s="21">
        <f>IF(Notes!$B$2="June",'Payment Total'!$F121,0)</f>
        <v>508325</v>
      </c>
      <c r="N121" s="21">
        <f t="shared" si="4"/>
        <v>0</v>
      </c>
      <c r="P121" s="25" t="s">
        <v>941</v>
      </c>
      <c r="Q121" s="25">
        <v>508325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292713</v>
      </c>
      <c r="E122" s="21">
        <f>INDEX(Data[],MATCH($A122,Data[Dist],0),MATCH(E$6,Data[#Headers],0))</f>
        <v>292713</v>
      </c>
      <c r="F122" s="21">
        <f>INDEX(Data[],MATCH($A122,Data[Dist],0),MATCH(F$6,Data[#Headers],0))</f>
        <v>292713</v>
      </c>
      <c r="G122" s="21">
        <f>INDEX(Data[],MATCH($A122,Data[Dist],0),MATCH(G$6,Data[#Headers],0))</f>
        <v>2933414</v>
      </c>
      <c r="H122" s="21">
        <f>INDEX(Data[],MATCH($A122,Data[Dist],0),MATCH(H$6,Data[#Headers],0))-G122</f>
        <v>0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585426</v>
      </c>
      <c r="L122" s="21">
        <f>INDEX(Notes!$I$2:$N$11,MATCH(Notes!$B$2,Notes!$I$2:$I$11,0),6)*$E122</f>
        <v>878139</v>
      </c>
      <c r="M122" s="21">
        <f>IF(Notes!$B$2="June",'Payment Total'!$F122,0)</f>
        <v>292713</v>
      </c>
      <c r="N122" s="21">
        <f t="shared" si="4"/>
        <v>0</v>
      </c>
      <c r="P122" s="25" t="s">
        <v>942</v>
      </c>
      <c r="Q122" s="25">
        <v>292713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1120417</v>
      </c>
      <c r="E123" s="21">
        <f>INDEX(Data[],MATCH($A123,Data[Dist],0),MATCH(E$6,Data[#Headers],0))</f>
        <v>1120417</v>
      </c>
      <c r="F123" s="21">
        <f>INDEX(Data[],MATCH($A123,Data[Dist],0),MATCH(F$6,Data[#Headers],0))</f>
        <v>1120416</v>
      </c>
      <c r="G123" s="21">
        <f>INDEX(Data[],MATCH($A123,Data[Dist],0),MATCH(G$6,Data[#Headers],0))</f>
        <v>11228349</v>
      </c>
      <c r="H123" s="21">
        <f>INDEX(Data[],MATCH($A123,Data[Dist],0),MATCH(H$6,Data[#Headers],0))-G123</f>
        <v>0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2240834</v>
      </c>
      <c r="L123" s="21">
        <f>INDEX(Notes!$I$2:$N$11,MATCH(Notes!$B$2,Notes!$I$2:$I$11,0),6)*$E123</f>
        <v>3361251</v>
      </c>
      <c r="M123" s="21">
        <f>IF(Notes!$B$2="June",'Payment Total'!$F123,0)</f>
        <v>1120416</v>
      </c>
      <c r="N123" s="21">
        <f t="shared" si="4"/>
        <v>0</v>
      </c>
      <c r="P123" s="25" t="s">
        <v>943</v>
      </c>
      <c r="Q123" s="25">
        <v>1120416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115381</v>
      </c>
      <c r="E124" s="21">
        <f>INDEX(Data[],MATCH($A124,Data[Dist],0),MATCH(E$6,Data[#Headers],0))</f>
        <v>115381</v>
      </c>
      <c r="F124" s="21">
        <f>INDEX(Data[],MATCH($A124,Data[Dist],0),MATCH(F$6,Data[#Headers],0))</f>
        <v>115382</v>
      </c>
      <c r="G124" s="21">
        <f>INDEX(Data[],MATCH($A124,Data[Dist],0),MATCH(G$6,Data[#Headers],0))</f>
        <v>1156215</v>
      </c>
      <c r="H124" s="21">
        <f>INDEX(Data[],MATCH($A124,Data[Dist],0),MATCH(H$6,Data[#Headers],0))-G124</f>
        <v>0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230762</v>
      </c>
      <c r="L124" s="21">
        <f>INDEX(Notes!$I$2:$N$11,MATCH(Notes!$B$2,Notes!$I$2:$I$11,0),6)*$E124</f>
        <v>346143</v>
      </c>
      <c r="M124" s="21">
        <f>IF(Notes!$B$2="June",'Payment Total'!$F124,0)</f>
        <v>115382</v>
      </c>
      <c r="N124" s="21">
        <f t="shared" si="4"/>
        <v>0</v>
      </c>
      <c r="P124" s="25" t="s">
        <v>944</v>
      </c>
      <c r="Q124" s="25">
        <v>115382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460863</v>
      </c>
      <c r="E125" s="21">
        <f>INDEX(Data[],MATCH($A125,Data[Dist],0),MATCH(E$6,Data[#Headers],0))</f>
        <v>460863</v>
      </c>
      <c r="F125" s="21">
        <f>INDEX(Data[],MATCH($A125,Data[Dist],0),MATCH(F$6,Data[#Headers],0))</f>
        <v>460861</v>
      </c>
      <c r="G125" s="21">
        <f>INDEX(Data[],MATCH($A125,Data[Dist],0),MATCH(G$6,Data[#Headers],0))</f>
        <v>4617984</v>
      </c>
      <c r="H125" s="21">
        <f>INDEX(Data[],MATCH($A125,Data[Dist],0),MATCH(H$6,Data[#Headers],0))-G125</f>
        <v>0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921726</v>
      </c>
      <c r="L125" s="21">
        <f>INDEX(Notes!$I$2:$N$11,MATCH(Notes!$B$2,Notes!$I$2:$I$11,0),6)*$E125</f>
        <v>1382589</v>
      </c>
      <c r="M125" s="21">
        <f>IF(Notes!$B$2="June",'Payment Total'!$F125,0)</f>
        <v>460861</v>
      </c>
      <c r="N125" s="21">
        <f t="shared" si="4"/>
        <v>0</v>
      </c>
      <c r="P125" s="25" t="s">
        <v>945</v>
      </c>
      <c r="Q125" s="25">
        <v>460861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1425680</v>
      </c>
      <c r="E126" s="21">
        <f>INDEX(Data[],MATCH($A126,Data[Dist],0),MATCH(E$6,Data[#Headers],0))</f>
        <v>1425680</v>
      </c>
      <c r="F126" s="21">
        <f>INDEX(Data[],MATCH($A126,Data[Dist],0),MATCH(F$6,Data[#Headers],0))</f>
        <v>1425678</v>
      </c>
      <c r="G126" s="21">
        <f>INDEX(Data[],MATCH($A126,Data[Dist],0),MATCH(G$6,Data[#Headers],0))</f>
        <v>14285134</v>
      </c>
      <c r="H126" s="21">
        <f>INDEX(Data[],MATCH($A126,Data[Dist],0),MATCH(H$6,Data[#Headers],0))-G126</f>
        <v>0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2851360</v>
      </c>
      <c r="L126" s="21">
        <f>INDEX(Notes!$I$2:$N$11,MATCH(Notes!$B$2,Notes!$I$2:$I$11,0),6)*$E126</f>
        <v>4277040</v>
      </c>
      <c r="M126" s="21">
        <f>IF(Notes!$B$2="June",'Payment Total'!$F126,0)</f>
        <v>1425678</v>
      </c>
      <c r="N126" s="21">
        <f t="shared" si="4"/>
        <v>0</v>
      </c>
      <c r="P126" s="25" t="s">
        <v>946</v>
      </c>
      <c r="Q126" s="25">
        <v>1425678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238125</v>
      </c>
      <c r="E127" s="21">
        <f>INDEX(Data[],MATCH($A127,Data[Dist],0),MATCH(E$6,Data[#Headers],0))</f>
        <v>238124</v>
      </c>
      <c r="F127" s="21">
        <f>INDEX(Data[],MATCH($A127,Data[Dist],0),MATCH(F$6,Data[#Headers],0))</f>
        <v>238125</v>
      </c>
      <c r="G127" s="21">
        <f>INDEX(Data[],MATCH($A127,Data[Dist],0),MATCH(G$6,Data[#Headers],0))</f>
        <v>2386007</v>
      </c>
      <c r="H127" s="21">
        <f>INDEX(Data[],MATCH($A127,Data[Dist],0),MATCH(H$6,Data[#Headers],0))-G127</f>
        <v>0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476250</v>
      </c>
      <c r="L127" s="21">
        <f>INDEX(Notes!$I$2:$N$11,MATCH(Notes!$B$2,Notes!$I$2:$I$11,0),6)*$E127</f>
        <v>714372</v>
      </c>
      <c r="M127" s="21">
        <f>IF(Notes!$B$2="June",'Payment Total'!$F127,0)</f>
        <v>238125</v>
      </c>
      <c r="N127" s="21">
        <f t="shared" si="4"/>
        <v>0</v>
      </c>
      <c r="P127" s="25" t="s">
        <v>947</v>
      </c>
      <c r="Q127" s="25">
        <v>238125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241142</v>
      </c>
      <c r="E128" s="21">
        <f>INDEX(Data[],MATCH($A128,Data[Dist],0),MATCH(E$6,Data[#Headers],0))</f>
        <v>241142</v>
      </c>
      <c r="F128" s="21">
        <f>INDEX(Data[],MATCH($A128,Data[Dist],0),MATCH(F$6,Data[#Headers],0))</f>
        <v>241143</v>
      </c>
      <c r="G128" s="21">
        <f>INDEX(Data[],MATCH($A128,Data[Dist],0),MATCH(G$6,Data[#Headers],0))</f>
        <v>2417141</v>
      </c>
      <c r="H128" s="21">
        <f>INDEX(Data[],MATCH($A128,Data[Dist],0),MATCH(H$6,Data[#Headers],0))-G128</f>
        <v>0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482284</v>
      </c>
      <c r="L128" s="21">
        <f>INDEX(Notes!$I$2:$N$11,MATCH(Notes!$B$2,Notes!$I$2:$I$11,0),6)*$E128</f>
        <v>723426</v>
      </c>
      <c r="M128" s="21">
        <f>IF(Notes!$B$2="June",'Payment Total'!$F128,0)</f>
        <v>241143</v>
      </c>
      <c r="N128" s="21">
        <f t="shared" si="4"/>
        <v>0</v>
      </c>
      <c r="P128" s="25" t="s">
        <v>948</v>
      </c>
      <c r="Q128" s="25">
        <v>241143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531088</v>
      </c>
      <c r="E129" s="21">
        <f>INDEX(Data[],MATCH($A129,Data[Dist],0),MATCH(E$6,Data[#Headers],0))</f>
        <v>531088</v>
      </c>
      <c r="F129" s="21">
        <f>INDEX(Data[],MATCH($A129,Data[Dist],0),MATCH(F$6,Data[#Headers],0))</f>
        <v>531088</v>
      </c>
      <c r="G129" s="21">
        <f>INDEX(Data[],MATCH($A129,Data[Dist],0),MATCH(G$6,Data[#Headers],0))</f>
        <v>5320536</v>
      </c>
      <c r="H129" s="21">
        <f>INDEX(Data[],MATCH($A129,Data[Dist],0),MATCH(H$6,Data[#Headers],0))-G129</f>
        <v>0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1062176</v>
      </c>
      <c r="L129" s="21">
        <f>INDEX(Notes!$I$2:$N$11,MATCH(Notes!$B$2,Notes!$I$2:$I$11,0),6)*$E129</f>
        <v>1593264</v>
      </c>
      <c r="M129" s="21">
        <f>IF(Notes!$B$2="June",'Payment Total'!$F129,0)</f>
        <v>531088</v>
      </c>
      <c r="N129" s="21">
        <f t="shared" si="4"/>
        <v>0</v>
      </c>
      <c r="P129" s="25" t="s">
        <v>949</v>
      </c>
      <c r="Q129" s="25">
        <v>531088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209868</v>
      </c>
      <c r="E130" s="21">
        <f>INDEX(Data[],MATCH($A130,Data[Dist],0),MATCH(E$6,Data[#Headers],0))</f>
        <v>209869</v>
      </c>
      <c r="F130" s="21">
        <f>INDEX(Data[],MATCH($A130,Data[Dist],0),MATCH(F$6,Data[#Headers],0))</f>
        <v>209867</v>
      </c>
      <c r="G130" s="21">
        <f>INDEX(Data[],MATCH($A130,Data[Dist],0),MATCH(G$6,Data[#Headers],0))</f>
        <v>2102474</v>
      </c>
      <c r="H130" s="21">
        <f>INDEX(Data[],MATCH($A130,Data[Dist],0),MATCH(H$6,Data[#Headers],0))-G130</f>
        <v>0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419736</v>
      </c>
      <c r="L130" s="21">
        <f>INDEX(Notes!$I$2:$N$11,MATCH(Notes!$B$2,Notes!$I$2:$I$11,0),6)*$E130</f>
        <v>629607</v>
      </c>
      <c r="M130" s="21">
        <f>IF(Notes!$B$2="June",'Payment Total'!$F130,0)</f>
        <v>209867</v>
      </c>
      <c r="N130" s="21">
        <f t="shared" si="4"/>
        <v>0</v>
      </c>
      <c r="P130" s="25" t="s">
        <v>950</v>
      </c>
      <c r="Q130" s="25">
        <v>209867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1202586</v>
      </c>
      <c r="E131" s="21">
        <f>INDEX(Data[],MATCH($A131,Data[Dist],0),MATCH(E$6,Data[#Headers],0))</f>
        <v>1202586</v>
      </c>
      <c r="F131" s="21">
        <f>INDEX(Data[],MATCH($A131,Data[Dist],0),MATCH(F$6,Data[#Headers],0))</f>
        <v>1202584</v>
      </c>
      <c r="G131" s="21">
        <f>INDEX(Data[],MATCH($A131,Data[Dist],0),MATCH(G$6,Data[#Headers],0))</f>
        <v>12048690</v>
      </c>
      <c r="H131" s="21">
        <f>INDEX(Data[],MATCH($A131,Data[Dist],0),MATCH(H$6,Data[#Headers],0))-G131</f>
        <v>0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2405172</v>
      </c>
      <c r="L131" s="21">
        <f>INDEX(Notes!$I$2:$N$11,MATCH(Notes!$B$2,Notes!$I$2:$I$11,0),6)*$E131</f>
        <v>3607758</v>
      </c>
      <c r="M131" s="21">
        <f>IF(Notes!$B$2="June",'Payment Total'!$F131,0)</f>
        <v>1202584</v>
      </c>
      <c r="N131" s="21">
        <f t="shared" si="4"/>
        <v>0</v>
      </c>
      <c r="P131" s="25" t="s">
        <v>951</v>
      </c>
      <c r="Q131" s="25">
        <v>1202584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321082</v>
      </c>
      <c r="E132" s="21">
        <f>INDEX(Data[],MATCH($A132,Data[Dist],0),MATCH(E$6,Data[#Headers],0))</f>
        <v>321083</v>
      </c>
      <c r="F132" s="21">
        <f>INDEX(Data[],MATCH($A132,Data[Dist],0),MATCH(F$6,Data[#Headers],0))</f>
        <v>321081</v>
      </c>
      <c r="G132" s="21">
        <f>INDEX(Data[],MATCH($A132,Data[Dist],0),MATCH(G$6,Data[#Headers],0))</f>
        <v>3217562</v>
      </c>
      <c r="H132" s="21">
        <f>INDEX(Data[],MATCH($A132,Data[Dist],0),MATCH(H$6,Data[#Headers],0))-G132</f>
        <v>0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642164</v>
      </c>
      <c r="L132" s="21">
        <f>INDEX(Notes!$I$2:$N$11,MATCH(Notes!$B$2,Notes!$I$2:$I$11,0),6)*$E132</f>
        <v>963249</v>
      </c>
      <c r="M132" s="21">
        <f>IF(Notes!$B$2="June",'Payment Total'!$F132,0)</f>
        <v>321081</v>
      </c>
      <c r="N132" s="21">
        <f t="shared" si="4"/>
        <v>0</v>
      </c>
      <c r="P132" s="25" t="s">
        <v>952</v>
      </c>
      <c r="Q132" s="25">
        <v>321081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558404</v>
      </c>
      <c r="E133" s="21">
        <f>INDEX(Data[],MATCH($A133,Data[Dist],0),MATCH(E$6,Data[#Headers],0))</f>
        <v>558403</v>
      </c>
      <c r="F133" s="21">
        <f>INDEX(Data[],MATCH($A133,Data[Dist],0),MATCH(F$6,Data[#Headers],0))</f>
        <v>558404</v>
      </c>
      <c r="G133" s="21">
        <f>INDEX(Data[],MATCH($A133,Data[Dist],0),MATCH(G$6,Data[#Headers],0))</f>
        <v>5594389</v>
      </c>
      <c r="H133" s="21">
        <f>INDEX(Data[],MATCH($A133,Data[Dist],0),MATCH(H$6,Data[#Headers],0))-G133</f>
        <v>0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1116808</v>
      </c>
      <c r="L133" s="21">
        <f>INDEX(Notes!$I$2:$N$11,MATCH(Notes!$B$2,Notes!$I$2:$I$11,0),6)*$E133</f>
        <v>1675209</v>
      </c>
      <c r="M133" s="21">
        <f>IF(Notes!$B$2="June",'Payment Total'!$F133,0)</f>
        <v>558404</v>
      </c>
      <c r="N133" s="21">
        <f t="shared" si="4"/>
        <v>0</v>
      </c>
      <c r="P133" s="25" t="s">
        <v>953</v>
      </c>
      <c r="Q133" s="25">
        <v>558404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325906</v>
      </c>
      <c r="E134" s="21">
        <f>INDEX(Data[],MATCH($A134,Data[Dist],0),MATCH(E$6,Data[#Headers],0))</f>
        <v>325907</v>
      </c>
      <c r="F134" s="21">
        <f>INDEX(Data[],MATCH($A134,Data[Dist],0),MATCH(F$6,Data[#Headers],0))</f>
        <v>325905</v>
      </c>
      <c r="G134" s="21">
        <f>INDEX(Data[],MATCH($A134,Data[Dist],0),MATCH(G$6,Data[#Headers],0))</f>
        <v>3264966</v>
      </c>
      <c r="H134" s="21">
        <f>INDEX(Data[],MATCH($A134,Data[Dist],0),MATCH(H$6,Data[#Headers],0))-G134</f>
        <v>0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651812</v>
      </c>
      <c r="L134" s="21">
        <f>INDEX(Notes!$I$2:$N$11,MATCH(Notes!$B$2,Notes!$I$2:$I$11,0),6)*$E134</f>
        <v>977721</v>
      </c>
      <c r="M134" s="21">
        <f>IF(Notes!$B$2="June",'Payment Total'!$F134,0)</f>
        <v>325905</v>
      </c>
      <c r="N134" s="21">
        <f t="shared" si="4"/>
        <v>0</v>
      </c>
      <c r="P134" s="25" t="s">
        <v>954</v>
      </c>
      <c r="Q134" s="25">
        <v>325905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439051</v>
      </c>
      <c r="E135" s="21">
        <f>INDEX(Data[],MATCH($A135,Data[Dist],0),MATCH(E$6,Data[#Headers],0))</f>
        <v>439051</v>
      </c>
      <c r="F135" s="21">
        <f>INDEX(Data[],MATCH($A135,Data[Dist],0),MATCH(F$6,Data[#Headers],0))</f>
        <v>439050</v>
      </c>
      <c r="G135" s="21">
        <f>INDEX(Data[],MATCH($A135,Data[Dist],0),MATCH(G$6,Data[#Headers],0))</f>
        <v>4400205</v>
      </c>
      <c r="H135" s="21">
        <f>INDEX(Data[],MATCH($A135,Data[Dist],0),MATCH(H$6,Data[#Headers],0))-G135</f>
        <v>0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878102</v>
      </c>
      <c r="L135" s="21">
        <f>INDEX(Notes!$I$2:$N$11,MATCH(Notes!$B$2,Notes!$I$2:$I$11,0),6)*$E135</f>
        <v>1317153</v>
      </c>
      <c r="M135" s="21">
        <f>IF(Notes!$B$2="June",'Payment Total'!$F135,0)</f>
        <v>439050</v>
      </c>
      <c r="N135" s="21">
        <f t="shared" si="4"/>
        <v>0</v>
      </c>
      <c r="P135" s="25" t="s">
        <v>955</v>
      </c>
      <c r="Q135" s="25">
        <v>439050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236399</v>
      </c>
      <c r="E136" s="21">
        <f>INDEX(Data[],MATCH($A136,Data[Dist],0),MATCH(E$6,Data[#Headers],0))</f>
        <v>236399</v>
      </c>
      <c r="F136" s="21">
        <f>INDEX(Data[],MATCH($A136,Data[Dist],0),MATCH(F$6,Data[#Headers],0))</f>
        <v>236397</v>
      </c>
      <c r="G136" s="21">
        <f>INDEX(Data[],MATCH($A136,Data[Dist],0),MATCH(G$6,Data[#Headers],0))</f>
        <v>2368672</v>
      </c>
      <c r="H136" s="21">
        <f>INDEX(Data[],MATCH($A136,Data[Dist],0),MATCH(H$6,Data[#Headers],0))-G136</f>
        <v>0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472798</v>
      </c>
      <c r="L136" s="21">
        <f>INDEX(Notes!$I$2:$N$11,MATCH(Notes!$B$2,Notes!$I$2:$I$11,0),6)*$E136</f>
        <v>709197</v>
      </c>
      <c r="M136" s="21">
        <f>IF(Notes!$B$2="June",'Payment Total'!$F136,0)</f>
        <v>236397</v>
      </c>
      <c r="N136" s="21">
        <f t="shared" ref="N136:N199" si="8">SUM(J136:M136)-G136</f>
        <v>0</v>
      </c>
      <c r="P136" s="25" t="s">
        <v>956</v>
      </c>
      <c r="Q136" s="25">
        <v>236397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INDEX($A$7:$H$331,MATCH($S136,$A$7:$A$331,0),6)-Q136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111757</v>
      </c>
      <c r="E137" s="21">
        <f>INDEX(Data[],MATCH($A137,Data[Dist],0),MATCH(E$6,Data[#Headers],0))</f>
        <v>111757</v>
      </c>
      <c r="F137" s="21">
        <f>INDEX(Data[],MATCH($A137,Data[Dist],0),MATCH(F$6,Data[#Headers],0))</f>
        <v>111757</v>
      </c>
      <c r="G137" s="21">
        <f>INDEX(Data[],MATCH($A137,Data[Dist],0),MATCH(G$6,Data[#Headers],0))</f>
        <v>1120654</v>
      </c>
      <c r="H137" s="21">
        <f>INDEX(Data[],MATCH($A137,Data[Dist],0),MATCH(H$6,Data[#Headers],0))-G137</f>
        <v>0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223514</v>
      </c>
      <c r="L137" s="21">
        <f>INDEX(Notes!$I$2:$N$11,MATCH(Notes!$B$2,Notes!$I$2:$I$11,0),6)*$E137</f>
        <v>335271</v>
      </c>
      <c r="M137" s="21">
        <f>IF(Notes!$B$2="June",'Payment Total'!$F137,0)</f>
        <v>111757</v>
      </c>
      <c r="N137" s="21">
        <f t="shared" si="8"/>
        <v>0</v>
      </c>
      <c r="P137" s="25" t="s">
        <v>957</v>
      </c>
      <c r="Q137" s="25">
        <v>111757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917939</v>
      </c>
      <c r="E138" s="21">
        <f>INDEX(Data[],MATCH($A138,Data[Dist],0),MATCH(E$6,Data[#Headers],0))</f>
        <v>917938</v>
      </c>
      <c r="F138" s="21">
        <f>INDEX(Data[],MATCH($A138,Data[Dist],0),MATCH(F$6,Data[#Headers],0))</f>
        <v>917939</v>
      </c>
      <c r="G138" s="21">
        <f>INDEX(Data[],MATCH($A138,Data[Dist],0),MATCH(G$6,Data[#Headers],0))</f>
        <v>9195923</v>
      </c>
      <c r="H138" s="21">
        <f>INDEX(Data[],MATCH($A138,Data[Dist],0),MATCH(H$6,Data[#Headers],0))-G138</f>
        <v>0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1835878</v>
      </c>
      <c r="L138" s="21">
        <f>INDEX(Notes!$I$2:$N$11,MATCH(Notes!$B$2,Notes!$I$2:$I$11,0),6)*$E138</f>
        <v>2753814</v>
      </c>
      <c r="M138" s="21">
        <f>IF(Notes!$B$2="June",'Payment Total'!$F138,0)</f>
        <v>917939</v>
      </c>
      <c r="N138" s="21">
        <f t="shared" si="8"/>
        <v>0</v>
      </c>
      <c r="P138" s="25" t="s">
        <v>958</v>
      </c>
      <c r="Q138" s="25">
        <v>917939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1035200</v>
      </c>
      <c r="E139" s="21">
        <f>INDEX(Data[],MATCH($A139,Data[Dist],0),MATCH(E$6,Data[#Headers],0))</f>
        <v>1035200</v>
      </c>
      <c r="F139" s="21">
        <f>INDEX(Data[],MATCH($A139,Data[Dist],0),MATCH(F$6,Data[#Headers],0))</f>
        <v>1035200</v>
      </c>
      <c r="G139" s="21">
        <f>INDEX(Data[],MATCH($A139,Data[Dist],0),MATCH(G$6,Data[#Headers],0))</f>
        <v>10372472</v>
      </c>
      <c r="H139" s="21">
        <f>INDEX(Data[],MATCH($A139,Data[Dist],0),MATCH(H$6,Data[#Headers],0))-G139</f>
        <v>0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2070400</v>
      </c>
      <c r="L139" s="21">
        <f>INDEX(Notes!$I$2:$N$11,MATCH(Notes!$B$2,Notes!$I$2:$I$11,0),6)*$E139</f>
        <v>3105600</v>
      </c>
      <c r="M139" s="21">
        <f>IF(Notes!$B$2="June",'Payment Total'!$F139,0)</f>
        <v>1035200</v>
      </c>
      <c r="N139" s="21">
        <f t="shared" si="8"/>
        <v>0</v>
      </c>
      <c r="P139" s="25" t="s">
        <v>959</v>
      </c>
      <c r="Q139" s="25">
        <v>1035200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159770</v>
      </c>
      <c r="E140" s="21">
        <f>INDEX(Data[],MATCH($A140,Data[Dist],0),MATCH(E$6,Data[#Headers],0))</f>
        <v>159769</v>
      </c>
      <c r="F140" s="21">
        <f>INDEX(Data[],MATCH($A140,Data[Dist],0),MATCH(F$6,Data[#Headers],0))</f>
        <v>159770</v>
      </c>
      <c r="G140" s="21">
        <f>INDEX(Data[],MATCH($A140,Data[Dist],0),MATCH(G$6,Data[#Headers],0))</f>
        <v>1602241</v>
      </c>
      <c r="H140" s="21">
        <f>INDEX(Data[],MATCH($A140,Data[Dist],0),MATCH(H$6,Data[#Headers],0))-G140</f>
        <v>0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319540</v>
      </c>
      <c r="L140" s="21">
        <f>INDEX(Notes!$I$2:$N$11,MATCH(Notes!$B$2,Notes!$I$2:$I$11,0),6)*$E140</f>
        <v>479307</v>
      </c>
      <c r="M140" s="21">
        <f>IF(Notes!$B$2="June",'Payment Total'!$F140,0)</f>
        <v>159770</v>
      </c>
      <c r="N140" s="21">
        <f t="shared" si="8"/>
        <v>0</v>
      </c>
      <c r="P140" s="25" t="s">
        <v>960</v>
      </c>
      <c r="Q140" s="25">
        <v>159770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389111</v>
      </c>
      <c r="E141" s="21">
        <f>INDEX(Data[],MATCH($A141,Data[Dist],0),MATCH(E$6,Data[#Headers],0))</f>
        <v>389111</v>
      </c>
      <c r="F141" s="21">
        <f>INDEX(Data[],MATCH($A141,Data[Dist],0),MATCH(F$6,Data[#Headers],0))</f>
        <v>389109</v>
      </c>
      <c r="G141" s="21">
        <f>INDEX(Data[],MATCH($A141,Data[Dist],0),MATCH(G$6,Data[#Headers],0))</f>
        <v>3900732</v>
      </c>
      <c r="H141" s="21">
        <f>INDEX(Data[],MATCH($A141,Data[Dist],0),MATCH(H$6,Data[#Headers],0))-G141</f>
        <v>0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778222</v>
      </c>
      <c r="L141" s="21">
        <f>INDEX(Notes!$I$2:$N$11,MATCH(Notes!$B$2,Notes!$I$2:$I$11,0),6)*$E141</f>
        <v>1167333</v>
      </c>
      <c r="M141" s="21">
        <f>IF(Notes!$B$2="June",'Payment Total'!$F141,0)</f>
        <v>389109</v>
      </c>
      <c r="N141" s="21">
        <f t="shared" si="8"/>
        <v>0</v>
      </c>
      <c r="P141" s="25" t="s">
        <v>961</v>
      </c>
      <c r="Q141" s="25">
        <v>389109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395025</v>
      </c>
      <c r="E142" s="21">
        <f>INDEX(Data[],MATCH($A142,Data[Dist],0),MATCH(E$6,Data[#Headers],0))</f>
        <v>395025</v>
      </c>
      <c r="F142" s="21">
        <f>INDEX(Data[],MATCH($A142,Data[Dist],0),MATCH(F$6,Data[#Headers],0))</f>
        <v>395025</v>
      </c>
      <c r="G142" s="21">
        <f>INDEX(Data[],MATCH($A142,Data[Dist],0),MATCH(G$6,Data[#Headers],0))</f>
        <v>3958666</v>
      </c>
      <c r="H142" s="21">
        <f>INDEX(Data[],MATCH($A142,Data[Dist],0),MATCH(H$6,Data[#Headers],0))-G142</f>
        <v>0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790050</v>
      </c>
      <c r="L142" s="21">
        <f>INDEX(Notes!$I$2:$N$11,MATCH(Notes!$B$2,Notes!$I$2:$I$11,0),6)*$E142</f>
        <v>1185075</v>
      </c>
      <c r="M142" s="21">
        <f>IF(Notes!$B$2="June",'Payment Total'!$F142,0)</f>
        <v>395025</v>
      </c>
      <c r="N142" s="21">
        <f t="shared" si="8"/>
        <v>0</v>
      </c>
      <c r="P142" s="25" t="s">
        <v>962</v>
      </c>
      <c r="Q142" s="25">
        <v>395025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432245</v>
      </c>
      <c r="E143" s="21">
        <f>INDEX(Data[],MATCH($A143,Data[Dist],0),MATCH(E$6,Data[#Headers],0))</f>
        <v>432245</v>
      </c>
      <c r="F143" s="21">
        <f>INDEX(Data[],MATCH($A143,Data[Dist],0),MATCH(F$6,Data[#Headers],0))</f>
        <v>432244</v>
      </c>
      <c r="G143" s="21">
        <f>INDEX(Data[],MATCH($A143,Data[Dist],0),MATCH(G$6,Data[#Headers],0))</f>
        <v>4331149</v>
      </c>
      <c r="H143" s="21">
        <f>INDEX(Data[],MATCH($A143,Data[Dist],0),MATCH(H$6,Data[#Headers],0))-G143</f>
        <v>0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864490</v>
      </c>
      <c r="L143" s="21">
        <f>INDEX(Notes!$I$2:$N$11,MATCH(Notes!$B$2,Notes!$I$2:$I$11,0),6)*$E143</f>
        <v>1296735</v>
      </c>
      <c r="M143" s="21">
        <f>IF(Notes!$B$2="June",'Payment Total'!$F143,0)</f>
        <v>432244</v>
      </c>
      <c r="N143" s="21">
        <f t="shared" si="8"/>
        <v>0</v>
      </c>
      <c r="P143" s="25" t="s">
        <v>963</v>
      </c>
      <c r="Q143" s="25">
        <v>432244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858740</v>
      </c>
      <c r="E144" s="21">
        <f>INDEX(Data[],MATCH($A144,Data[Dist],0),MATCH(E$6,Data[#Headers],0))</f>
        <v>858740</v>
      </c>
      <c r="F144" s="21">
        <f>INDEX(Data[],MATCH($A144,Data[Dist],0),MATCH(F$6,Data[#Headers],0))</f>
        <v>858738</v>
      </c>
      <c r="G144" s="21">
        <f>INDEX(Data[],MATCH($A144,Data[Dist],0),MATCH(G$6,Data[#Headers],0))</f>
        <v>8604830</v>
      </c>
      <c r="H144" s="21">
        <f>INDEX(Data[],MATCH($A144,Data[Dist],0),MATCH(H$6,Data[#Headers],0))-G144</f>
        <v>0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1717480</v>
      </c>
      <c r="L144" s="21">
        <f>INDEX(Notes!$I$2:$N$11,MATCH(Notes!$B$2,Notes!$I$2:$I$11,0),6)*$E144</f>
        <v>2576220</v>
      </c>
      <c r="M144" s="21">
        <f>IF(Notes!$B$2="June",'Payment Total'!$F144,0)</f>
        <v>858738</v>
      </c>
      <c r="N144" s="21">
        <f t="shared" si="8"/>
        <v>0</v>
      </c>
      <c r="P144" s="25" t="s">
        <v>964</v>
      </c>
      <c r="Q144" s="25">
        <v>858738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245541</v>
      </c>
      <c r="E145" s="21">
        <f>INDEX(Data[],MATCH($A145,Data[Dist],0),MATCH(E$6,Data[#Headers],0))</f>
        <v>245541</v>
      </c>
      <c r="F145" s="21">
        <f>INDEX(Data[],MATCH($A145,Data[Dist],0),MATCH(F$6,Data[#Headers],0))</f>
        <v>245539</v>
      </c>
      <c r="G145" s="21">
        <f>INDEX(Data[],MATCH($A145,Data[Dist],0),MATCH(G$6,Data[#Headers],0))</f>
        <v>2461612</v>
      </c>
      <c r="H145" s="21">
        <f>INDEX(Data[],MATCH($A145,Data[Dist],0),MATCH(H$6,Data[#Headers],0))-G145</f>
        <v>0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491082</v>
      </c>
      <c r="L145" s="21">
        <f>INDEX(Notes!$I$2:$N$11,MATCH(Notes!$B$2,Notes!$I$2:$I$11,0),6)*$E145</f>
        <v>736623</v>
      </c>
      <c r="M145" s="21">
        <f>IF(Notes!$B$2="June",'Payment Total'!$F145,0)</f>
        <v>245539</v>
      </c>
      <c r="N145" s="21">
        <f t="shared" si="8"/>
        <v>0</v>
      </c>
      <c r="P145" s="25" t="s">
        <v>965</v>
      </c>
      <c r="Q145" s="25">
        <v>245539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699617</v>
      </c>
      <c r="E146" s="21">
        <f>INDEX(Data[],MATCH($A146,Data[Dist],0),MATCH(E$6,Data[#Headers],0))</f>
        <v>699616</v>
      </c>
      <c r="F146" s="21">
        <f>INDEX(Data[],MATCH($A146,Data[Dist],0),MATCH(F$6,Data[#Headers],0))</f>
        <v>699617</v>
      </c>
      <c r="G146" s="21">
        <f>INDEX(Data[],MATCH($A146,Data[Dist],0),MATCH(G$6,Data[#Headers],0))</f>
        <v>7007967</v>
      </c>
      <c r="H146" s="21">
        <f>INDEX(Data[],MATCH($A146,Data[Dist],0),MATCH(H$6,Data[#Headers],0))-G146</f>
        <v>0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1399234</v>
      </c>
      <c r="L146" s="21">
        <f>INDEX(Notes!$I$2:$N$11,MATCH(Notes!$B$2,Notes!$I$2:$I$11,0),6)*$E146</f>
        <v>2098848</v>
      </c>
      <c r="M146" s="21">
        <f>IF(Notes!$B$2="June",'Payment Total'!$F146,0)</f>
        <v>699617</v>
      </c>
      <c r="N146" s="21">
        <f t="shared" si="8"/>
        <v>0</v>
      </c>
      <c r="P146" s="25" t="s">
        <v>966</v>
      </c>
      <c r="Q146" s="25">
        <v>699617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946548</v>
      </c>
      <c r="E147" s="21">
        <f>INDEX(Data[],MATCH($A147,Data[Dist],0),MATCH(E$6,Data[#Headers],0))</f>
        <v>946548</v>
      </c>
      <c r="F147" s="21">
        <f>INDEX(Data[],MATCH($A147,Data[Dist],0),MATCH(F$6,Data[#Headers],0))</f>
        <v>946547</v>
      </c>
      <c r="G147" s="21">
        <f>INDEX(Data[],MATCH($A147,Data[Dist],0),MATCH(G$6,Data[#Headers],0))</f>
        <v>9483711</v>
      </c>
      <c r="H147" s="21">
        <f>INDEX(Data[],MATCH($A147,Data[Dist],0),MATCH(H$6,Data[#Headers],0))-G147</f>
        <v>0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1893096</v>
      </c>
      <c r="L147" s="21">
        <f>INDEX(Notes!$I$2:$N$11,MATCH(Notes!$B$2,Notes!$I$2:$I$11,0),6)*$E147</f>
        <v>2839644</v>
      </c>
      <c r="M147" s="21">
        <f>IF(Notes!$B$2="June",'Payment Total'!$F147,0)</f>
        <v>946547</v>
      </c>
      <c r="N147" s="21">
        <f t="shared" si="8"/>
        <v>0</v>
      </c>
      <c r="P147" s="25" t="s">
        <v>967</v>
      </c>
      <c r="Q147" s="25">
        <v>946547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1130027</v>
      </c>
      <c r="E148" s="21">
        <f>INDEX(Data[],MATCH($A148,Data[Dist],0),MATCH(E$6,Data[#Headers],0))</f>
        <v>1130026</v>
      </c>
      <c r="F148" s="21">
        <f>INDEX(Data[],MATCH($A148,Data[Dist],0),MATCH(F$6,Data[#Headers],0))</f>
        <v>1130027</v>
      </c>
      <c r="G148" s="21">
        <f>INDEX(Data[],MATCH($A148,Data[Dist],0),MATCH(G$6,Data[#Headers],0))</f>
        <v>11320863</v>
      </c>
      <c r="H148" s="21">
        <f>INDEX(Data[],MATCH($A148,Data[Dist],0),MATCH(H$6,Data[#Headers],0))-G148</f>
        <v>0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2260054</v>
      </c>
      <c r="L148" s="21">
        <f>INDEX(Notes!$I$2:$N$11,MATCH(Notes!$B$2,Notes!$I$2:$I$11,0),6)*$E148</f>
        <v>3390078</v>
      </c>
      <c r="M148" s="21">
        <f>IF(Notes!$B$2="June",'Payment Total'!$F148,0)</f>
        <v>1130027</v>
      </c>
      <c r="N148" s="21">
        <f t="shared" si="8"/>
        <v>0</v>
      </c>
      <c r="P148" s="25" t="s">
        <v>968</v>
      </c>
      <c r="Q148" s="25">
        <v>1130027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2908799</v>
      </c>
      <c r="E149" s="21">
        <f>INDEX(Data[],MATCH($A149,Data[Dist],0),MATCH(E$6,Data[#Headers],0))</f>
        <v>2908799</v>
      </c>
      <c r="F149" s="21">
        <f>INDEX(Data[],MATCH($A149,Data[Dist],0),MATCH(F$6,Data[#Headers],0))</f>
        <v>2908799</v>
      </c>
      <c r="G149" s="21">
        <f>INDEX(Data[],MATCH($A149,Data[Dist],0),MATCH(G$6,Data[#Headers],0))</f>
        <v>29140134</v>
      </c>
      <c r="H149" s="21">
        <f>INDEX(Data[],MATCH($A149,Data[Dist],0),MATCH(H$6,Data[#Headers],0))-G149</f>
        <v>0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5817598</v>
      </c>
      <c r="L149" s="21">
        <f>INDEX(Notes!$I$2:$N$11,MATCH(Notes!$B$2,Notes!$I$2:$I$11,0),6)*$E149</f>
        <v>8726397</v>
      </c>
      <c r="M149" s="21">
        <f>IF(Notes!$B$2="June",'Payment Total'!$F149,0)</f>
        <v>2908799</v>
      </c>
      <c r="N149" s="21">
        <f t="shared" si="8"/>
        <v>0</v>
      </c>
      <c r="P149" s="25" t="s">
        <v>969</v>
      </c>
      <c r="Q149" s="25">
        <v>2908799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679935</v>
      </c>
      <c r="E150" s="21">
        <f>INDEX(Data[],MATCH($A150,Data[Dist],0),MATCH(E$6,Data[#Headers],0))</f>
        <v>679935</v>
      </c>
      <c r="F150" s="21">
        <f>INDEX(Data[],MATCH($A150,Data[Dist],0),MATCH(F$6,Data[#Headers],0))</f>
        <v>679933</v>
      </c>
      <c r="G150" s="21">
        <f>INDEX(Data[],MATCH($A150,Data[Dist],0),MATCH(G$6,Data[#Headers],0))</f>
        <v>6811820</v>
      </c>
      <c r="H150" s="21">
        <f>INDEX(Data[],MATCH($A150,Data[Dist],0),MATCH(H$6,Data[#Headers],0))-G150</f>
        <v>0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1359870</v>
      </c>
      <c r="L150" s="21">
        <f>INDEX(Notes!$I$2:$N$11,MATCH(Notes!$B$2,Notes!$I$2:$I$11,0),6)*$E150</f>
        <v>2039805</v>
      </c>
      <c r="M150" s="21">
        <f>IF(Notes!$B$2="June",'Payment Total'!$F150,0)</f>
        <v>679933</v>
      </c>
      <c r="N150" s="21">
        <f t="shared" si="8"/>
        <v>0</v>
      </c>
      <c r="P150" s="25" t="s">
        <v>970</v>
      </c>
      <c r="Q150" s="25">
        <v>679933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10593772</v>
      </c>
      <c r="E151" s="21">
        <f>INDEX(Data[],MATCH($A151,Data[Dist],0),MATCH(E$6,Data[#Headers],0))</f>
        <v>10593772</v>
      </c>
      <c r="F151" s="21">
        <f>INDEX(Data[],MATCH($A151,Data[Dist],0),MATCH(F$6,Data[#Headers],0))</f>
        <v>10593772</v>
      </c>
      <c r="G151" s="21">
        <f>INDEX(Data[],MATCH($A151,Data[Dist],0),MATCH(G$6,Data[#Headers],0))</f>
        <v>106158916</v>
      </c>
      <c r="H151" s="21">
        <f>INDEX(Data[],MATCH($A151,Data[Dist],0),MATCH(H$6,Data[#Headers],0))-G151</f>
        <v>0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21187544</v>
      </c>
      <c r="L151" s="21">
        <f>INDEX(Notes!$I$2:$N$11,MATCH(Notes!$B$2,Notes!$I$2:$I$11,0),6)*$E151</f>
        <v>31781316</v>
      </c>
      <c r="M151" s="21">
        <f>IF(Notes!$B$2="June",'Payment Total'!$F151,0)</f>
        <v>10593772</v>
      </c>
      <c r="N151" s="21">
        <f t="shared" si="8"/>
        <v>0</v>
      </c>
      <c r="P151" s="25" t="s">
        <v>971</v>
      </c>
      <c r="Q151" s="25">
        <v>10593772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771518</v>
      </c>
      <c r="E152" s="21">
        <f>INDEX(Data[],MATCH($A152,Data[Dist],0),MATCH(E$6,Data[#Headers],0))</f>
        <v>771518</v>
      </c>
      <c r="F152" s="21">
        <f>INDEX(Data[],MATCH($A152,Data[Dist],0),MATCH(F$6,Data[#Headers],0))</f>
        <v>771518</v>
      </c>
      <c r="G152" s="21">
        <f>INDEX(Data[],MATCH($A152,Data[Dist],0),MATCH(G$6,Data[#Headers],0))</f>
        <v>7729864</v>
      </c>
      <c r="H152" s="21">
        <f>INDEX(Data[],MATCH($A152,Data[Dist],0),MATCH(H$6,Data[#Headers],0))-G152</f>
        <v>0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1543036</v>
      </c>
      <c r="L152" s="21">
        <f>INDEX(Notes!$I$2:$N$11,MATCH(Notes!$B$2,Notes!$I$2:$I$11,0),6)*$E152</f>
        <v>2314554</v>
      </c>
      <c r="M152" s="21">
        <f>IF(Notes!$B$2="June",'Payment Total'!$F152,0)</f>
        <v>771518</v>
      </c>
      <c r="N152" s="21">
        <f>SUM(J152:M152)-G152</f>
        <v>0</v>
      </c>
      <c r="P152" s="25" t="s">
        <v>972</v>
      </c>
      <c r="Q152" s="25">
        <v>771518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416940</v>
      </c>
      <c r="E153" s="21">
        <f>INDEX(Data[],MATCH($A153,Data[Dist],0),MATCH(E$6,Data[#Headers],0))</f>
        <v>416940</v>
      </c>
      <c r="F153" s="21">
        <f>INDEX(Data[],MATCH($A153,Data[Dist],0),MATCH(F$6,Data[#Headers],0))</f>
        <v>416940</v>
      </c>
      <c r="G153" s="21">
        <f>INDEX(Data[],MATCH($A153,Data[Dist],0),MATCH(G$6,Data[#Headers],0))</f>
        <v>4176768</v>
      </c>
      <c r="H153" s="21">
        <f>INDEX(Data[],MATCH($A153,Data[Dist],0),MATCH(H$6,Data[#Headers],0))-G153</f>
        <v>0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833880</v>
      </c>
      <c r="L153" s="21">
        <f>INDEX(Notes!$I$2:$N$11,MATCH(Notes!$B$2,Notes!$I$2:$I$11,0),6)*$E153</f>
        <v>1250820</v>
      </c>
      <c r="M153" s="21">
        <f>IF(Notes!$B$2="June",'Payment Total'!$F153,0)</f>
        <v>416940</v>
      </c>
      <c r="N153" s="21">
        <f t="shared" si="8"/>
        <v>0</v>
      </c>
      <c r="P153" s="25" t="s">
        <v>973</v>
      </c>
      <c r="Q153" s="25">
        <v>416940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453306</v>
      </c>
      <c r="E154" s="21">
        <f>INDEX(Data[],MATCH($A154,Data[Dist],0),MATCH(E$6,Data[#Headers],0))</f>
        <v>453306</v>
      </c>
      <c r="F154" s="21">
        <f>INDEX(Data[],MATCH($A154,Data[Dist],0),MATCH(F$6,Data[#Headers],0))</f>
        <v>453306</v>
      </c>
      <c r="G154" s="21">
        <f>INDEX(Data[],MATCH($A154,Data[Dist],0),MATCH(G$6,Data[#Headers],0))</f>
        <v>4543316</v>
      </c>
      <c r="H154" s="21">
        <f>INDEX(Data[],MATCH($A154,Data[Dist],0),MATCH(H$6,Data[#Headers],0))-G154</f>
        <v>0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906612</v>
      </c>
      <c r="L154" s="21">
        <f>INDEX(Notes!$I$2:$N$11,MATCH(Notes!$B$2,Notes!$I$2:$I$11,0),6)*$E154</f>
        <v>1359918</v>
      </c>
      <c r="M154" s="21">
        <f>IF(Notes!$B$2="June",'Payment Total'!$F154,0)</f>
        <v>453306</v>
      </c>
      <c r="N154" s="21">
        <f t="shared" si="8"/>
        <v>0</v>
      </c>
      <c r="P154" s="25" t="s">
        <v>974</v>
      </c>
      <c r="Q154" s="25">
        <v>453306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374891</v>
      </c>
      <c r="E155" s="21">
        <f>INDEX(Data[],MATCH($A155,Data[Dist],0),MATCH(E$6,Data[#Headers],0))</f>
        <v>374892</v>
      </c>
      <c r="F155" s="21">
        <f>INDEX(Data[],MATCH($A155,Data[Dist],0),MATCH(F$6,Data[#Headers],0))</f>
        <v>374890</v>
      </c>
      <c r="G155" s="21">
        <f>INDEX(Data[],MATCH($A155,Data[Dist],0),MATCH(G$6,Data[#Headers],0))</f>
        <v>3755652</v>
      </c>
      <c r="H155" s="21">
        <f>INDEX(Data[],MATCH($A155,Data[Dist],0),MATCH(H$6,Data[#Headers],0))-G155</f>
        <v>0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749782</v>
      </c>
      <c r="L155" s="21">
        <f>INDEX(Notes!$I$2:$N$11,MATCH(Notes!$B$2,Notes!$I$2:$I$11,0),6)*$E155</f>
        <v>1124676</v>
      </c>
      <c r="M155" s="21">
        <f>IF(Notes!$B$2="June",'Payment Total'!$F155,0)</f>
        <v>374890</v>
      </c>
      <c r="N155" s="21">
        <f t="shared" si="8"/>
        <v>0</v>
      </c>
      <c r="P155" s="25" t="s">
        <v>975</v>
      </c>
      <c r="Q155" s="25">
        <v>374890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866936</v>
      </c>
      <c r="E156" s="21">
        <f>INDEX(Data[],MATCH($A156,Data[Dist],0),MATCH(E$6,Data[#Headers],0))</f>
        <v>866936</v>
      </c>
      <c r="F156" s="21">
        <f>INDEX(Data[],MATCH($A156,Data[Dist],0),MATCH(F$6,Data[#Headers],0))</f>
        <v>866934</v>
      </c>
      <c r="G156" s="21">
        <f>INDEX(Data[],MATCH($A156,Data[Dist],0),MATCH(G$6,Data[#Headers],0))</f>
        <v>8687590</v>
      </c>
      <c r="H156" s="21">
        <f>INDEX(Data[],MATCH($A156,Data[Dist],0),MATCH(H$6,Data[#Headers],0))-G156</f>
        <v>0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1733872</v>
      </c>
      <c r="L156" s="21">
        <f>INDEX(Notes!$I$2:$N$11,MATCH(Notes!$B$2,Notes!$I$2:$I$11,0),6)*$E156</f>
        <v>2600808</v>
      </c>
      <c r="M156" s="21">
        <f>IF(Notes!$B$2="June",'Payment Total'!$F156,0)</f>
        <v>866934</v>
      </c>
      <c r="N156" s="21">
        <f t="shared" si="8"/>
        <v>0</v>
      </c>
      <c r="P156" s="25" t="s">
        <v>976</v>
      </c>
      <c r="Q156" s="25">
        <v>866934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724048</v>
      </c>
      <c r="E157" s="21">
        <f>INDEX(Data[],MATCH($A157,Data[Dist],0),MATCH(E$6,Data[#Headers],0))</f>
        <v>724049</v>
      </c>
      <c r="F157" s="21">
        <f>INDEX(Data[],MATCH($A157,Data[Dist],0),MATCH(F$6,Data[#Headers],0))</f>
        <v>724047</v>
      </c>
      <c r="G157" s="21">
        <f>INDEX(Data[],MATCH($A157,Data[Dist],0),MATCH(G$6,Data[#Headers],0))</f>
        <v>7253706</v>
      </c>
      <c r="H157" s="21">
        <f>INDEX(Data[],MATCH($A157,Data[Dist],0),MATCH(H$6,Data[#Headers],0))-G157</f>
        <v>0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1448096</v>
      </c>
      <c r="L157" s="21">
        <f>INDEX(Notes!$I$2:$N$11,MATCH(Notes!$B$2,Notes!$I$2:$I$11,0),6)*$E157</f>
        <v>2172147</v>
      </c>
      <c r="M157" s="21">
        <f>IF(Notes!$B$2="June",'Payment Total'!$F157,0)</f>
        <v>724047</v>
      </c>
      <c r="N157" s="21">
        <f t="shared" si="8"/>
        <v>0</v>
      </c>
      <c r="P157" s="25" t="s">
        <v>977</v>
      </c>
      <c r="Q157" s="25">
        <v>724047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5155244</v>
      </c>
      <c r="E158" s="21">
        <f>INDEX(Data[],MATCH($A158,Data[Dist],0),MATCH(E$6,Data[#Headers],0))</f>
        <v>5155245</v>
      </c>
      <c r="F158" s="21">
        <f>INDEX(Data[],MATCH($A158,Data[Dist],0),MATCH(F$6,Data[#Headers],0))</f>
        <v>5155243</v>
      </c>
      <c r="G158" s="21">
        <f>INDEX(Data[],MATCH($A158,Data[Dist],0),MATCH(G$6,Data[#Headers],0))</f>
        <v>51654866</v>
      </c>
      <c r="H158" s="21">
        <f>INDEX(Data[],MATCH($A158,Data[Dist],0),MATCH(H$6,Data[#Headers],0))-G158</f>
        <v>0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10310488</v>
      </c>
      <c r="L158" s="21">
        <f>INDEX(Notes!$I$2:$N$11,MATCH(Notes!$B$2,Notes!$I$2:$I$11,0),6)*$E158</f>
        <v>15465735</v>
      </c>
      <c r="M158" s="21">
        <f>IF(Notes!$B$2="June",'Payment Total'!$F158,0)</f>
        <v>5155243</v>
      </c>
      <c r="N158" s="21">
        <f t="shared" si="8"/>
        <v>0</v>
      </c>
      <c r="P158" s="25" t="s">
        <v>978</v>
      </c>
      <c r="Q158" s="25">
        <v>5155243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1777304</v>
      </c>
      <c r="E159" s="21">
        <f>INDEX(Data[],MATCH($A159,Data[Dist],0),MATCH(E$6,Data[#Headers],0))</f>
        <v>1777305</v>
      </c>
      <c r="F159" s="21">
        <f>INDEX(Data[],MATCH($A159,Data[Dist],0),MATCH(F$6,Data[#Headers],0))</f>
        <v>1777303</v>
      </c>
      <c r="G159" s="21">
        <f>INDEX(Data[],MATCH($A159,Data[Dist],0),MATCH(G$6,Data[#Headers],0))</f>
        <v>17800226</v>
      </c>
      <c r="H159" s="21">
        <f>INDEX(Data[],MATCH($A159,Data[Dist],0),MATCH(H$6,Data[#Headers],0))-G159</f>
        <v>0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3554608</v>
      </c>
      <c r="L159" s="21">
        <f>INDEX(Notes!$I$2:$N$11,MATCH(Notes!$B$2,Notes!$I$2:$I$11,0),6)*$E159</f>
        <v>5331915</v>
      </c>
      <c r="M159" s="21">
        <f>IF(Notes!$B$2="June",'Payment Total'!$F159,0)</f>
        <v>1777303</v>
      </c>
      <c r="N159" s="21">
        <f t="shared" si="8"/>
        <v>0</v>
      </c>
      <c r="P159" s="25" t="s">
        <v>979</v>
      </c>
      <c r="Q159" s="25">
        <v>1777303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251643</v>
      </c>
      <c r="E160" s="21">
        <f>INDEX(Data[],MATCH($A160,Data[Dist],0),MATCH(E$6,Data[#Headers],0))</f>
        <v>251642</v>
      </c>
      <c r="F160" s="21">
        <f>INDEX(Data[],MATCH($A160,Data[Dist],0),MATCH(F$6,Data[#Headers],0))</f>
        <v>251643</v>
      </c>
      <c r="G160" s="21">
        <f>INDEX(Data[],MATCH($A160,Data[Dist],0),MATCH(G$6,Data[#Headers],0))</f>
        <v>2521467</v>
      </c>
      <c r="H160" s="21">
        <f>INDEX(Data[],MATCH($A160,Data[Dist],0),MATCH(H$6,Data[#Headers],0))-G160</f>
        <v>0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503286</v>
      </c>
      <c r="L160" s="21">
        <f>INDEX(Notes!$I$2:$N$11,MATCH(Notes!$B$2,Notes!$I$2:$I$11,0),6)*$E160</f>
        <v>754926</v>
      </c>
      <c r="M160" s="21">
        <f>IF(Notes!$B$2="June",'Payment Total'!$F160,0)</f>
        <v>251643</v>
      </c>
      <c r="N160" s="21">
        <f t="shared" si="8"/>
        <v>0</v>
      </c>
      <c r="P160" s="25" t="s">
        <v>980</v>
      </c>
      <c r="Q160" s="25">
        <v>251643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367365</v>
      </c>
      <c r="E161" s="21">
        <f>INDEX(Data[],MATCH($A161,Data[Dist],0),MATCH(E$6,Data[#Headers],0))</f>
        <v>367365</v>
      </c>
      <c r="F161" s="21">
        <f>INDEX(Data[],MATCH($A161,Data[Dist],0),MATCH(F$6,Data[#Headers],0))</f>
        <v>367364</v>
      </c>
      <c r="G161" s="21">
        <f>INDEX(Data[],MATCH($A161,Data[Dist],0),MATCH(G$6,Data[#Headers],0))</f>
        <v>3680657</v>
      </c>
      <c r="H161" s="21">
        <f>INDEX(Data[],MATCH($A161,Data[Dist],0),MATCH(H$6,Data[#Headers],0))-G161</f>
        <v>0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734730</v>
      </c>
      <c r="L161" s="21">
        <f>INDEX(Notes!$I$2:$N$11,MATCH(Notes!$B$2,Notes!$I$2:$I$11,0),6)*$E161</f>
        <v>1102095</v>
      </c>
      <c r="M161" s="21">
        <f>IF(Notes!$B$2="June",'Payment Total'!$F161,0)</f>
        <v>367364</v>
      </c>
      <c r="N161" s="21">
        <f t="shared" si="8"/>
        <v>0</v>
      </c>
      <c r="P161" s="25" t="s">
        <v>981</v>
      </c>
      <c r="Q161" s="25">
        <v>367364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1490891</v>
      </c>
      <c r="E162" s="21">
        <f>INDEX(Data[],MATCH($A162,Data[Dist],0),MATCH(E$6,Data[#Headers],0))</f>
        <v>1490891</v>
      </c>
      <c r="F162" s="21">
        <f>INDEX(Data[],MATCH($A162,Data[Dist],0),MATCH(F$6,Data[#Headers],0))</f>
        <v>1490890</v>
      </c>
      <c r="G162" s="21">
        <f>INDEX(Data[],MATCH($A162,Data[Dist],0),MATCH(G$6,Data[#Headers],0))</f>
        <v>14935049</v>
      </c>
      <c r="H162" s="21">
        <f>INDEX(Data[],MATCH($A162,Data[Dist],0),MATCH(H$6,Data[#Headers],0))-G162</f>
        <v>0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2981782</v>
      </c>
      <c r="L162" s="21">
        <f>INDEX(Notes!$I$2:$N$11,MATCH(Notes!$B$2,Notes!$I$2:$I$11,0),6)*$E162</f>
        <v>4472673</v>
      </c>
      <c r="M162" s="21">
        <f>IF(Notes!$B$2="June",'Payment Total'!$F162,0)</f>
        <v>1490890</v>
      </c>
      <c r="N162" s="21">
        <f t="shared" si="8"/>
        <v>0</v>
      </c>
      <c r="P162" s="25" t="s">
        <v>982</v>
      </c>
      <c r="Q162" s="25">
        <v>1490890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399146</v>
      </c>
      <c r="E163" s="21">
        <f>INDEX(Data[],MATCH($A163,Data[Dist],0),MATCH(E$6,Data[#Headers],0))</f>
        <v>399147</v>
      </c>
      <c r="F163" s="21">
        <f>INDEX(Data[],MATCH($A163,Data[Dist],0),MATCH(F$6,Data[#Headers],0))</f>
        <v>399145</v>
      </c>
      <c r="G163" s="21">
        <f>INDEX(Data[],MATCH($A163,Data[Dist],0),MATCH(G$6,Data[#Headers],0))</f>
        <v>3999870</v>
      </c>
      <c r="H163" s="21">
        <f>INDEX(Data[],MATCH($A163,Data[Dist],0),MATCH(H$6,Data[#Headers],0))-G163</f>
        <v>0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798292</v>
      </c>
      <c r="L163" s="21">
        <f>INDEX(Notes!$I$2:$N$11,MATCH(Notes!$B$2,Notes!$I$2:$I$11,0),6)*$E163</f>
        <v>1197441</v>
      </c>
      <c r="M163" s="21">
        <f>IF(Notes!$B$2="June",'Payment Total'!$F163,0)</f>
        <v>399145</v>
      </c>
      <c r="N163" s="21">
        <f t="shared" si="8"/>
        <v>0</v>
      </c>
      <c r="P163" s="25" t="s">
        <v>983</v>
      </c>
      <c r="Q163" s="25">
        <v>399145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289389</v>
      </c>
      <c r="E164" s="21">
        <f>INDEX(Data[],MATCH($A164,Data[Dist],0),MATCH(E$6,Data[#Headers],0))</f>
        <v>289389</v>
      </c>
      <c r="F164" s="21">
        <f>INDEX(Data[],MATCH($A164,Data[Dist],0),MATCH(F$6,Data[#Headers],0))</f>
        <v>289388</v>
      </c>
      <c r="G164" s="21">
        <f>INDEX(Data[],MATCH($A164,Data[Dist],0),MATCH(G$6,Data[#Headers],0))</f>
        <v>2898301</v>
      </c>
      <c r="H164" s="21">
        <f>INDEX(Data[],MATCH($A164,Data[Dist],0),MATCH(H$6,Data[#Headers],0))-G164</f>
        <v>0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578778</v>
      </c>
      <c r="L164" s="21">
        <f>INDEX(Notes!$I$2:$N$11,MATCH(Notes!$B$2,Notes!$I$2:$I$11,0),6)*$E164</f>
        <v>868167</v>
      </c>
      <c r="M164" s="21">
        <f>IF(Notes!$B$2="June",'Payment Total'!$F164,0)</f>
        <v>289388</v>
      </c>
      <c r="N164" s="21">
        <f t="shared" si="8"/>
        <v>0</v>
      </c>
      <c r="P164" s="25" t="s">
        <v>984</v>
      </c>
      <c r="Q164" s="25">
        <v>289388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243366</v>
      </c>
      <c r="E165" s="21">
        <f>INDEX(Data[],MATCH($A165,Data[Dist],0),MATCH(E$6,Data[#Headers],0))</f>
        <v>243365</v>
      </c>
      <c r="F165" s="21">
        <f>INDEX(Data[],MATCH($A165,Data[Dist],0),MATCH(F$6,Data[#Headers],0))</f>
        <v>243366</v>
      </c>
      <c r="G165" s="21">
        <f>INDEX(Data[],MATCH($A165,Data[Dist],0),MATCH(G$6,Data[#Headers],0))</f>
        <v>2438445</v>
      </c>
      <c r="H165" s="21">
        <f>INDEX(Data[],MATCH($A165,Data[Dist],0),MATCH(H$6,Data[#Headers],0))-G165</f>
        <v>0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486732</v>
      </c>
      <c r="L165" s="21">
        <f>INDEX(Notes!$I$2:$N$11,MATCH(Notes!$B$2,Notes!$I$2:$I$11,0),6)*$E165</f>
        <v>730095</v>
      </c>
      <c r="M165" s="21">
        <f>IF(Notes!$B$2="June",'Payment Total'!$F165,0)</f>
        <v>243366</v>
      </c>
      <c r="N165" s="21">
        <f t="shared" si="8"/>
        <v>0</v>
      </c>
      <c r="P165" s="25" t="s">
        <v>985</v>
      </c>
      <c r="Q165" s="25">
        <v>243366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459581</v>
      </c>
      <c r="E166" s="21">
        <f>INDEX(Data[],MATCH($A166,Data[Dist],0),MATCH(E$6,Data[#Headers],0))</f>
        <v>459581</v>
      </c>
      <c r="F166" s="21">
        <f>INDEX(Data[],MATCH($A166,Data[Dist],0),MATCH(F$6,Data[#Headers],0))</f>
        <v>459579</v>
      </c>
      <c r="G166" s="21">
        <f>INDEX(Data[],MATCH($A166,Data[Dist],0),MATCH(G$6,Data[#Headers],0))</f>
        <v>4604948</v>
      </c>
      <c r="H166" s="21">
        <f>INDEX(Data[],MATCH($A166,Data[Dist],0),MATCH(H$6,Data[#Headers],0))-G166</f>
        <v>0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919162</v>
      </c>
      <c r="L166" s="21">
        <f>INDEX(Notes!$I$2:$N$11,MATCH(Notes!$B$2,Notes!$I$2:$I$11,0),6)*$E166</f>
        <v>1378743</v>
      </c>
      <c r="M166" s="21">
        <f>IF(Notes!$B$2="June",'Payment Total'!$F166,0)</f>
        <v>459579</v>
      </c>
      <c r="N166" s="21">
        <f t="shared" si="8"/>
        <v>0</v>
      </c>
      <c r="P166" s="25" t="s">
        <v>986</v>
      </c>
      <c r="Q166" s="25">
        <v>459579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367495</v>
      </c>
      <c r="E167" s="21">
        <f>INDEX(Data[],MATCH($A167,Data[Dist],0),MATCH(E$6,Data[#Headers],0))</f>
        <v>348611</v>
      </c>
      <c r="F167" s="21">
        <f>INDEX(Data[],MATCH($A167,Data[Dist],0),MATCH(F$6,Data[#Headers],0))</f>
        <v>348609</v>
      </c>
      <c r="G167" s="21">
        <f>INDEX(Data[],MATCH($A167,Data[Dist],0),MATCH(G$6,Data[#Headers],0))</f>
        <v>3606852</v>
      </c>
      <c r="H167" s="21">
        <f>INDEX(Data[],MATCH($A167,Data[Dist],0),MATCH(H$6,Data[#Headers],0))-G167</f>
        <v>0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734990</v>
      </c>
      <c r="L167" s="21">
        <f>INDEX(Notes!$I$2:$N$11,MATCH(Notes!$B$2,Notes!$I$2:$I$11,0),6)*$E167</f>
        <v>1045833</v>
      </c>
      <c r="M167" s="21">
        <f>IF(Notes!$B$2="June",'Payment Total'!$F167,0)</f>
        <v>348609</v>
      </c>
      <c r="N167" s="21">
        <f t="shared" si="8"/>
        <v>0</v>
      </c>
      <c r="P167" s="25" t="s">
        <v>987</v>
      </c>
      <c r="Q167" s="25">
        <v>348609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1620407</v>
      </c>
      <c r="E168" s="21">
        <f>INDEX(Data[],MATCH($A168,Data[Dist],0),MATCH(E$6,Data[#Headers],0))</f>
        <v>1620406</v>
      </c>
      <c r="F168" s="21">
        <f>INDEX(Data[],MATCH($A168,Data[Dist],0),MATCH(F$6,Data[#Headers],0))</f>
        <v>1620407</v>
      </c>
      <c r="G168" s="21">
        <f>INDEX(Data[],MATCH($A168,Data[Dist],0),MATCH(G$6,Data[#Headers],0))</f>
        <v>16236791</v>
      </c>
      <c r="H168" s="21">
        <f>INDEX(Data[],MATCH($A168,Data[Dist],0),MATCH(H$6,Data[#Headers],0))-G168</f>
        <v>0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3240814</v>
      </c>
      <c r="L168" s="21">
        <f>INDEX(Notes!$I$2:$N$11,MATCH(Notes!$B$2,Notes!$I$2:$I$11,0),6)*$E168</f>
        <v>4861218</v>
      </c>
      <c r="M168" s="21">
        <f>IF(Notes!$B$2="June",'Payment Total'!$F168,0)</f>
        <v>1620407</v>
      </c>
      <c r="N168" s="21">
        <f t="shared" si="8"/>
        <v>0</v>
      </c>
      <c r="P168" s="25" t="s">
        <v>988</v>
      </c>
      <c r="Q168" s="25">
        <v>1620407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375598</v>
      </c>
      <c r="E169" s="21">
        <f>INDEX(Data[],MATCH($A169,Data[Dist],0),MATCH(E$6,Data[#Headers],0))</f>
        <v>375599</v>
      </c>
      <c r="F169" s="21">
        <f>INDEX(Data[],MATCH($A169,Data[Dist],0),MATCH(F$6,Data[#Headers],0))</f>
        <v>375597</v>
      </c>
      <c r="G169" s="21">
        <f>INDEX(Data[],MATCH($A169,Data[Dist],0),MATCH(G$6,Data[#Headers],0))</f>
        <v>3762878</v>
      </c>
      <c r="H169" s="21">
        <f>INDEX(Data[],MATCH($A169,Data[Dist],0),MATCH(H$6,Data[#Headers],0))-G169</f>
        <v>0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751196</v>
      </c>
      <c r="L169" s="21">
        <f>INDEX(Notes!$I$2:$N$11,MATCH(Notes!$B$2,Notes!$I$2:$I$11,0),6)*$E169</f>
        <v>1126797</v>
      </c>
      <c r="M169" s="21">
        <f>IF(Notes!$B$2="June",'Payment Total'!$F169,0)</f>
        <v>375597</v>
      </c>
      <c r="N169" s="21">
        <f t="shared" si="8"/>
        <v>0</v>
      </c>
      <c r="P169" s="25" t="s">
        <v>989</v>
      </c>
      <c r="Q169" s="25">
        <v>375597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1640085</v>
      </c>
      <c r="E170" s="21">
        <f>INDEX(Data[],MATCH($A170,Data[Dist],0),MATCH(E$6,Data[#Headers],0))</f>
        <v>1640085</v>
      </c>
      <c r="F170" s="21">
        <f>INDEX(Data[],MATCH($A170,Data[Dist],0),MATCH(F$6,Data[#Headers],0))</f>
        <v>1640085</v>
      </c>
      <c r="G170" s="21">
        <f>INDEX(Data[],MATCH($A170,Data[Dist],0),MATCH(G$6,Data[#Headers],0))</f>
        <v>16440622</v>
      </c>
      <c r="H170" s="21">
        <f>INDEX(Data[],MATCH($A170,Data[Dist],0),MATCH(H$6,Data[#Headers],0))-G170</f>
        <v>0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3280170</v>
      </c>
      <c r="L170" s="21">
        <f>INDEX(Notes!$I$2:$N$11,MATCH(Notes!$B$2,Notes!$I$2:$I$11,0),6)*$E170</f>
        <v>4920255</v>
      </c>
      <c r="M170" s="21">
        <f>IF(Notes!$B$2="June",'Payment Total'!$F170,0)</f>
        <v>1640085</v>
      </c>
      <c r="N170" s="21">
        <f t="shared" si="8"/>
        <v>0</v>
      </c>
      <c r="P170" s="25" t="s">
        <v>990</v>
      </c>
      <c r="Q170" s="25">
        <v>1640085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553588</v>
      </c>
      <c r="E171" s="21">
        <f>INDEX(Data[],MATCH($A171,Data[Dist],0),MATCH(E$6,Data[#Headers],0))</f>
        <v>553588</v>
      </c>
      <c r="F171" s="21">
        <f>INDEX(Data[],MATCH($A171,Data[Dist],0),MATCH(F$6,Data[#Headers],0))</f>
        <v>553588</v>
      </c>
      <c r="G171" s="21">
        <f>INDEX(Data[],MATCH($A171,Data[Dist],0),MATCH(G$6,Data[#Headers],0))</f>
        <v>5546580</v>
      </c>
      <c r="H171" s="21">
        <f>INDEX(Data[],MATCH($A171,Data[Dist],0),MATCH(H$6,Data[#Headers],0))-G171</f>
        <v>0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1107176</v>
      </c>
      <c r="L171" s="21">
        <f>INDEX(Notes!$I$2:$N$11,MATCH(Notes!$B$2,Notes!$I$2:$I$11,0),6)*$E171</f>
        <v>1660764</v>
      </c>
      <c r="M171" s="21">
        <f>IF(Notes!$B$2="June",'Payment Total'!$F171,0)</f>
        <v>553588</v>
      </c>
      <c r="N171" s="21">
        <f t="shared" si="8"/>
        <v>0</v>
      </c>
      <c r="P171" s="25" t="s">
        <v>991</v>
      </c>
      <c r="Q171" s="25">
        <v>553588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6001842</v>
      </c>
      <c r="E172" s="21">
        <f>INDEX(Data[],MATCH($A172,Data[Dist],0),MATCH(E$6,Data[#Headers],0))</f>
        <v>6001843</v>
      </c>
      <c r="F172" s="21">
        <f>INDEX(Data[],MATCH($A172,Data[Dist],0),MATCH(F$6,Data[#Headers],0))</f>
        <v>6001841</v>
      </c>
      <c r="G172" s="21">
        <f>INDEX(Data[],MATCH($A172,Data[Dist],0),MATCH(G$6,Data[#Headers],0))</f>
        <v>60132338</v>
      </c>
      <c r="H172" s="21">
        <f>INDEX(Data[],MATCH($A172,Data[Dist],0),MATCH(H$6,Data[#Headers],0))-G172</f>
        <v>0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12003684</v>
      </c>
      <c r="L172" s="21">
        <f>INDEX(Notes!$I$2:$N$11,MATCH(Notes!$B$2,Notes!$I$2:$I$11,0),6)*$E172</f>
        <v>18005529</v>
      </c>
      <c r="M172" s="21">
        <f>IF(Notes!$B$2="June",'Payment Total'!$F172,0)</f>
        <v>6001841</v>
      </c>
      <c r="N172" s="21">
        <f t="shared" si="8"/>
        <v>0</v>
      </c>
      <c r="P172" s="25" t="s">
        <v>992</v>
      </c>
      <c r="Q172" s="25">
        <v>6001841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620327</v>
      </c>
      <c r="E173" s="21">
        <f>INDEX(Data[],MATCH($A173,Data[Dist],0),MATCH(E$6,Data[#Headers],0))</f>
        <v>611342</v>
      </c>
      <c r="F173" s="21">
        <f>INDEX(Data[],MATCH($A173,Data[Dist],0),MATCH(F$6,Data[#Headers],0))</f>
        <v>611342</v>
      </c>
      <c r="G173" s="21">
        <f>INDEX(Data[],MATCH($A173,Data[Dist],0),MATCH(G$6,Data[#Headers],0))</f>
        <v>6177638</v>
      </c>
      <c r="H173" s="21">
        <f>INDEX(Data[],MATCH($A173,Data[Dist],0),MATCH(H$6,Data[#Headers],0))-G173</f>
        <v>0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1240654</v>
      </c>
      <c r="L173" s="21">
        <f>INDEX(Notes!$I$2:$N$11,MATCH(Notes!$B$2,Notes!$I$2:$I$11,0),6)*$E173</f>
        <v>1834026</v>
      </c>
      <c r="M173" s="21">
        <f>IF(Notes!$B$2="June",'Payment Total'!$F173,0)</f>
        <v>611342</v>
      </c>
      <c r="N173" s="21">
        <f t="shared" si="8"/>
        <v>0</v>
      </c>
      <c r="P173" s="25" t="s">
        <v>993</v>
      </c>
      <c r="Q173" s="25">
        <v>611342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474999</v>
      </c>
      <c r="E174" s="21">
        <f>INDEX(Data[],MATCH($A174,Data[Dist],0),MATCH(E$6,Data[#Headers],0))</f>
        <v>474999</v>
      </c>
      <c r="F174" s="21">
        <f>INDEX(Data[],MATCH($A174,Data[Dist],0),MATCH(F$6,Data[#Headers],0))</f>
        <v>474998</v>
      </c>
      <c r="G174" s="21">
        <f>INDEX(Data[],MATCH($A174,Data[Dist],0),MATCH(G$6,Data[#Headers],0))</f>
        <v>4758897</v>
      </c>
      <c r="H174" s="21">
        <f>INDEX(Data[],MATCH($A174,Data[Dist],0),MATCH(H$6,Data[#Headers],0))-G174</f>
        <v>0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949998</v>
      </c>
      <c r="L174" s="21">
        <f>INDEX(Notes!$I$2:$N$11,MATCH(Notes!$B$2,Notes!$I$2:$I$11,0),6)*$E174</f>
        <v>1424997</v>
      </c>
      <c r="M174" s="21">
        <f>IF(Notes!$B$2="June",'Payment Total'!$F174,0)</f>
        <v>474998</v>
      </c>
      <c r="N174" s="21">
        <f t="shared" si="8"/>
        <v>0</v>
      </c>
      <c r="P174" s="25" t="s">
        <v>994</v>
      </c>
      <c r="Q174" s="25">
        <v>474998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225860</v>
      </c>
      <c r="E175" s="21">
        <f>INDEX(Data[],MATCH($A175,Data[Dist],0),MATCH(E$6,Data[#Headers],0))</f>
        <v>225860</v>
      </c>
      <c r="F175" s="21">
        <f>INDEX(Data[],MATCH($A175,Data[Dist],0),MATCH(F$6,Data[#Headers],0))</f>
        <v>225861</v>
      </c>
      <c r="G175" s="21">
        <f>INDEX(Data[],MATCH($A175,Data[Dist],0),MATCH(G$6,Data[#Headers],0))</f>
        <v>2263157</v>
      </c>
      <c r="H175" s="21">
        <f>INDEX(Data[],MATCH($A175,Data[Dist],0),MATCH(H$6,Data[#Headers],0))-G175</f>
        <v>0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451720</v>
      </c>
      <c r="L175" s="21">
        <f>INDEX(Notes!$I$2:$N$11,MATCH(Notes!$B$2,Notes!$I$2:$I$11,0),6)*$E175</f>
        <v>677580</v>
      </c>
      <c r="M175" s="21">
        <f>IF(Notes!$B$2="June",'Payment Total'!$F175,0)</f>
        <v>225861</v>
      </c>
      <c r="N175" s="21">
        <f t="shared" si="8"/>
        <v>0</v>
      </c>
      <c r="P175" s="25" t="s">
        <v>995</v>
      </c>
      <c r="Q175" s="25">
        <v>225861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532668</v>
      </c>
      <c r="E176" s="21">
        <f>INDEX(Data[],MATCH($A176,Data[Dist],0),MATCH(E$6,Data[#Headers],0))</f>
        <v>532668</v>
      </c>
      <c r="F176" s="21">
        <f>INDEX(Data[],MATCH($A176,Data[Dist],0),MATCH(F$6,Data[#Headers],0))</f>
        <v>532666</v>
      </c>
      <c r="G176" s="21">
        <f>INDEX(Data[],MATCH($A176,Data[Dist],0),MATCH(G$6,Data[#Headers],0))</f>
        <v>5336846</v>
      </c>
      <c r="H176" s="21">
        <f>INDEX(Data[],MATCH($A176,Data[Dist],0),MATCH(H$6,Data[#Headers],0))-G176</f>
        <v>0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1065336</v>
      </c>
      <c r="L176" s="21">
        <f>INDEX(Notes!$I$2:$N$11,MATCH(Notes!$B$2,Notes!$I$2:$I$11,0),6)*$E176</f>
        <v>1598004</v>
      </c>
      <c r="M176" s="21">
        <f>IF(Notes!$B$2="June",'Payment Total'!$F176,0)</f>
        <v>532666</v>
      </c>
      <c r="N176" s="21">
        <f t="shared" si="8"/>
        <v>0</v>
      </c>
      <c r="P176" s="25" t="s">
        <v>996</v>
      </c>
      <c r="Q176" s="25">
        <v>532666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321797</v>
      </c>
      <c r="E177" s="21">
        <f>INDEX(Data[],MATCH($A177,Data[Dist],0),MATCH(E$6,Data[#Headers],0))</f>
        <v>321797</v>
      </c>
      <c r="F177" s="21">
        <f>INDEX(Data[],MATCH($A177,Data[Dist],0),MATCH(F$6,Data[#Headers],0))</f>
        <v>321795</v>
      </c>
      <c r="G177" s="21">
        <f>INDEX(Data[],MATCH($A177,Data[Dist],0),MATCH(G$6,Data[#Headers],0))</f>
        <v>3224440</v>
      </c>
      <c r="H177" s="21">
        <f>INDEX(Data[],MATCH($A177,Data[Dist],0),MATCH(H$6,Data[#Headers],0))-G177</f>
        <v>0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643594</v>
      </c>
      <c r="L177" s="21">
        <f>INDEX(Notes!$I$2:$N$11,MATCH(Notes!$B$2,Notes!$I$2:$I$11,0),6)*$E177</f>
        <v>965391</v>
      </c>
      <c r="M177" s="21">
        <f>IF(Notes!$B$2="June",'Payment Total'!$F177,0)</f>
        <v>321795</v>
      </c>
      <c r="N177" s="21">
        <f t="shared" si="8"/>
        <v>0</v>
      </c>
      <c r="P177" s="25" t="s">
        <v>997</v>
      </c>
      <c r="Q177" s="25">
        <v>321795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541198</v>
      </c>
      <c r="E178" s="21">
        <f>INDEX(Data[],MATCH($A178,Data[Dist],0),MATCH(E$6,Data[#Headers],0))</f>
        <v>541198</v>
      </c>
      <c r="F178" s="21">
        <f>INDEX(Data[],MATCH($A178,Data[Dist],0),MATCH(F$6,Data[#Headers],0))</f>
        <v>541196</v>
      </c>
      <c r="G178" s="21">
        <f>INDEX(Data[],MATCH($A178,Data[Dist],0),MATCH(G$6,Data[#Headers],0))</f>
        <v>5421394</v>
      </c>
      <c r="H178" s="21">
        <f>INDEX(Data[],MATCH($A178,Data[Dist],0),MATCH(H$6,Data[#Headers],0))-G178</f>
        <v>0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1082396</v>
      </c>
      <c r="L178" s="21">
        <f>INDEX(Notes!$I$2:$N$11,MATCH(Notes!$B$2,Notes!$I$2:$I$11,0),6)*$E178</f>
        <v>1623594</v>
      </c>
      <c r="M178" s="21">
        <f>IF(Notes!$B$2="June",'Payment Total'!$F178,0)</f>
        <v>541196</v>
      </c>
      <c r="N178" s="21">
        <f t="shared" si="8"/>
        <v>0</v>
      </c>
      <c r="P178" s="25" t="s">
        <v>998</v>
      </c>
      <c r="Q178" s="25">
        <v>541196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380913</v>
      </c>
      <c r="E179" s="21">
        <f>INDEX(Data[],MATCH($A179,Data[Dist],0),MATCH(E$6,Data[#Headers],0))</f>
        <v>380912</v>
      </c>
      <c r="F179" s="21">
        <f>INDEX(Data[],MATCH($A179,Data[Dist],0),MATCH(F$6,Data[#Headers],0))</f>
        <v>380913</v>
      </c>
      <c r="G179" s="21">
        <f>INDEX(Data[],MATCH($A179,Data[Dist],0),MATCH(G$6,Data[#Headers],0))</f>
        <v>3817487</v>
      </c>
      <c r="H179" s="21">
        <f>INDEX(Data[],MATCH($A179,Data[Dist],0),MATCH(H$6,Data[#Headers],0))-G179</f>
        <v>0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761826</v>
      </c>
      <c r="L179" s="21">
        <f>INDEX(Notes!$I$2:$N$11,MATCH(Notes!$B$2,Notes!$I$2:$I$11,0),6)*$E179</f>
        <v>1142736</v>
      </c>
      <c r="M179" s="21">
        <f>IF(Notes!$B$2="June",'Payment Total'!$F179,0)</f>
        <v>380913</v>
      </c>
      <c r="N179" s="21">
        <f t="shared" si="8"/>
        <v>0</v>
      </c>
      <c r="P179" s="25" t="s">
        <v>999</v>
      </c>
      <c r="Q179" s="25">
        <v>380913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429913</v>
      </c>
      <c r="E180" s="21">
        <f>INDEX(Data[],MATCH($A180,Data[Dist],0),MATCH(E$6,Data[#Headers],0))</f>
        <v>429912</v>
      </c>
      <c r="F180" s="21">
        <f>INDEX(Data[],MATCH($A180,Data[Dist],0),MATCH(F$6,Data[#Headers],0))</f>
        <v>429913</v>
      </c>
      <c r="G180" s="21">
        <f>INDEX(Data[],MATCH($A180,Data[Dist],0),MATCH(G$6,Data[#Headers],0))</f>
        <v>4309163</v>
      </c>
      <c r="H180" s="21">
        <f>INDEX(Data[],MATCH($A180,Data[Dist],0),MATCH(H$6,Data[#Headers],0))-G180</f>
        <v>0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859826</v>
      </c>
      <c r="L180" s="21">
        <f>INDEX(Notes!$I$2:$N$11,MATCH(Notes!$B$2,Notes!$I$2:$I$11,0),6)*$E180</f>
        <v>1289736</v>
      </c>
      <c r="M180" s="21">
        <f>IF(Notes!$B$2="June",'Payment Total'!$F180,0)</f>
        <v>429913</v>
      </c>
      <c r="N180" s="21">
        <f t="shared" si="8"/>
        <v>0</v>
      </c>
      <c r="P180" s="25" t="s">
        <v>1000</v>
      </c>
      <c r="Q180" s="25">
        <v>429913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341576</v>
      </c>
      <c r="E181" s="21">
        <f>INDEX(Data[],MATCH($A181,Data[Dist],0),MATCH(E$6,Data[#Headers],0))</f>
        <v>341577</v>
      </c>
      <c r="F181" s="21">
        <f>INDEX(Data[],MATCH($A181,Data[Dist],0),MATCH(F$6,Data[#Headers],0))</f>
        <v>341575</v>
      </c>
      <c r="G181" s="21">
        <f>INDEX(Data[],MATCH($A181,Data[Dist],0),MATCH(G$6,Data[#Headers],0))</f>
        <v>3424278</v>
      </c>
      <c r="H181" s="21">
        <f>INDEX(Data[],MATCH($A181,Data[Dist],0),MATCH(H$6,Data[#Headers],0))-G181</f>
        <v>0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683152</v>
      </c>
      <c r="L181" s="21">
        <f>INDEX(Notes!$I$2:$N$11,MATCH(Notes!$B$2,Notes!$I$2:$I$11,0),6)*$E181</f>
        <v>1024731</v>
      </c>
      <c r="M181" s="21">
        <f>IF(Notes!$B$2="June",'Payment Total'!$F181,0)</f>
        <v>341575</v>
      </c>
      <c r="N181" s="21">
        <f t="shared" si="8"/>
        <v>0</v>
      </c>
      <c r="P181" s="25" t="s">
        <v>1001</v>
      </c>
      <c r="Q181" s="25">
        <v>341575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1131749</v>
      </c>
      <c r="E182" s="21">
        <f>INDEX(Data[],MATCH($A182,Data[Dist],0),MATCH(E$6,Data[#Headers],0))</f>
        <v>1131748</v>
      </c>
      <c r="F182" s="21">
        <f>INDEX(Data[],MATCH($A182,Data[Dist],0),MATCH(F$6,Data[#Headers],0))</f>
        <v>1131749</v>
      </c>
      <c r="G182" s="21">
        <f>INDEX(Data[],MATCH($A182,Data[Dist],0),MATCH(G$6,Data[#Headers],0))</f>
        <v>11335747</v>
      </c>
      <c r="H182" s="21">
        <f>INDEX(Data[],MATCH($A182,Data[Dist],0),MATCH(H$6,Data[#Headers],0))-G182</f>
        <v>0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2263498</v>
      </c>
      <c r="L182" s="21">
        <f>INDEX(Notes!$I$2:$N$11,MATCH(Notes!$B$2,Notes!$I$2:$I$11,0),6)*$E182</f>
        <v>3395244</v>
      </c>
      <c r="M182" s="21">
        <f>IF(Notes!$B$2="June",'Payment Total'!$F182,0)</f>
        <v>1131749</v>
      </c>
      <c r="N182" s="21">
        <f t="shared" si="8"/>
        <v>0</v>
      </c>
      <c r="P182" s="25" t="s">
        <v>1002</v>
      </c>
      <c r="Q182" s="25">
        <v>1131749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442776</v>
      </c>
      <c r="E183" s="21">
        <f>INDEX(Data[],MATCH($A183,Data[Dist],0),MATCH(E$6,Data[#Headers],0))</f>
        <v>442776</v>
      </c>
      <c r="F183" s="21">
        <f>INDEX(Data[],MATCH($A183,Data[Dist],0),MATCH(F$6,Data[#Headers],0))</f>
        <v>442774</v>
      </c>
      <c r="G183" s="21">
        <f>INDEX(Data[],MATCH($A183,Data[Dist],0),MATCH(G$6,Data[#Headers],0))</f>
        <v>4437974</v>
      </c>
      <c r="H183" s="21">
        <f>INDEX(Data[],MATCH($A183,Data[Dist],0),MATCH(H$6,Data[#Headers],0))-G183</f>
        <v>0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885552</v>
      </c>
      <c r="L183" s="21">
        <f>INDEX(Notes!$I$2:$N$11,MATCH(Notes!$B$2,Notes!$I$2:$I$11,0),6)*$E183</f>
        <v>1328328</v>
      </c>
      <c r="M183" s="21">
        <f>IF(Notes!$B$2="June",'Payment Total'!$F183,0)</f>
        <v>442774</v>
      </c>
      <c r="N183" s="21">
        <f t="shared" si="8"/>
        <v>0</v>
      </c>
      <c r="P183" s="25" t="s">
        <v>1003</v>
      </c>
      <c r="Q183" s="25">
        <v>442774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248797</v>
      </c>
      <c r="E184" s="21">
        <f>INDEX(Data[],MATCH($A184,Data[Dist],0),MATCH(E$6,Data[#Headers],0))</f>
        <v>248797</v>
      </c>
      <c r="F184" s="21">
        <f>INDEX(Data[],MATCH($A184,Data[Dist],0),MATCH(F$6,Data[#Headers],0))</f>
        <v>248797</v>
      </c>
      <c r="G184" s="21">
        <f>INDEX(Data[],MATCH($A184,Data[Dist],0),MATCH(G$6,Data[#Headers],0))</f>
        <v>2494730</v>
      </c>
      <c r="H184" s="21">
        <f>INDEX(Data[],MATCH($A184,Data[Dist],0),MATCH(H$6,Data[#Headers],0))-G184</f>
        <v>0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497594</v>
      </c>
      <c r="L184" s="21">
        <f>INDEX(Notes!$I$2:$N$11,MATCH(Notes!$B$2,Notes!$I$2:$I$11,0),6)*$E184</f>
        <v>746391</v>
      </c>
      <c r="M184" s="21">
        <f>IF(Notes!$B$2="June",'Payment Total'!$F184,0)</f>
        <v>248797</v>
      </c>
      <c r="N184" s="21">
        <f t="shared" si="8"/>
        <v>0</v>
      </c>
      <c r="P184" s="25" t="s">
        <v>1004</v>
      </c>
      <c r="Q184" s="25">
        <v>248797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1579314</v>
      </c>
      <c r="E185" s="21">
        <f>INDEX(Data[],MATCH($A185,Data[Dist],0),MATCH(E$6,Data[#Headers],0))</f>
        <v>1579315</v>
      </c>
      <c r="F185" s="21">
        <f>INDEX(Data[],MATCH($A185,Data[Dist],0),MATCH(F$6,Data[#Headers],0))</f>
        <v>1579313</v>
      </c>
      <c r="G185" s="21">
        <f>INDEX(Data[],MATCH($A185,Data[Dist],0),MATCH(G$6,Data[#Headers],0))</f>
        <v>15819090</v>
      </c>
      <c r="H185" s="21">
        <f>INDEX(Data[],MATCH($A185,Data[Dist],0),MATCH(H$6,Data[#Headers],0))-G185</f>
        <v>0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3158628</v>
      </c>
      <c r="L185" s="21">
        <f>INDEX(Notes!$I$2:$N$11,MATCH(Notes!$B$2,Notes!$I$2:$I$11,0),6)*$E185</f>
        <v>4737945</v>
      </c>
      <c r="M185" s="21">
        <f>IF(Notes!$B$2="June",'Payment Total'!$F185,0)</f>
        <v>1579313</v>
      </c>
      <c r="N185" s="21">
        <f t="shared" si="8"/>
        <v>0</v>
      </c>
      <c r="P185" s="25" t="s">
        <v>1005</v>
      </c>
      <c r="Q185" s="25">
        <v>1579313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5186053</v>
      </c>
      <c r="E186" s="21">
        <f>INDEX(Data[],MATCH($A186,Data[Dist],0),MATCH(E$6,Data[#Headers],0))</f>
        <v>5186053</v>
      </c>
      <c r="F186" s="21">
        <f>INDEX(Data[],MATCH($A186,Data[Dist],0),MATCH(F$6,Data[#Headers],0))</f>
        <v>5186054</v>
      </c>
      <c r="G186" s="21">
        <f>INDEX(Data[],MATCH($A186,Data[Dist],0),MATCH(G$6,Data[#Headers],0))</f>
        <v>51942323</v>
      </c>
      <c r="H186" s="21">
        <f>INDEX(Data[],MATCH($A186,Data[Dist],0),MATCH(H$6,Data[#Headers],0))-G186</f>
        <v>0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10372106</v>
      </c>
      <c r="L186" s="21">
        <f>INDEX(Notes!$I$2:$N$11,MATCH(Notes!$B$2,Notes!$I$2:$I$11,0),6)*$E186</f>
        <v>15558159</v>
      </c>
      <c r="M186" s="21">
        <f>IF(Notes!$B$2="June",'Payment Total'!$F186,0)</f>
        <v>5186054</v>
      </c>
      <c r="N186" s="21">
        <f t="shared" si="8"/>
        <v>0</v>
      </c>
      <c r="P186" s="25" t="s">
        <v>1006</v>
      </c>
      <c r="Q186" s="25">
        <v>5186054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375595</v>
      </c>
      <c r="E187" s="21">
        <f>INDEX(Data[],MATCH($A187,Data[Dist],0),MATCH(E$6,Data[#Headers],0))</f>
        <v>375596</v>
      </c>
      <c r="F187" s="21">
        <f>INDEX(Data[],MATCH($A187,Data[Dist],0),MATCH(F$6,Data[#Headers],0))</f>
        <v>375594</v>
      </c>
      <c r="G187" s="21">
        <f>INDEX(Data[],MATCH($A187,Data[Dist],0),MATCH(G$6,Data[#Headers],0))</f>
        <v>3763160</v>
      </c>
      <c r="H187" s="21">
        <f>INDEX(Data[],MATCH($A187,Data[Dist],0),MATCH(H$6,Data[#Headers],0))-G187</f>
        <v>0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751190</v>
      </c>
      <c r="L187" s="21">
        <f>INDEX(Notes!$I$2:$N$11,MATCH(Notes!$B$2,Notes!$I$2:$I$11,0),6)*$E187</f>
        <v>1126788</v>
      </c>
      <c r="M187" s="21">
        <f>IF(Notes!$B$2="June",'Payment Total'!$F187,0)</f>
        <v>375594</v>
      </c>
      <c r="N187" s="21">
        <f t="shared" si="8"/>
        <v>0</v>
      </c>
      <c r="P187" s="25" t="s">
        <v>1007</v>
      </c>
      <c r="Q187" s="25">
        <v>375594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2726857</v>
      </c>
      <c r="E188" s="21">
        <f>INDEX(Data[],MATCH($A188,Data[Dist],0),MATCH(E$6,Data[#Headers],0))</f>
        <v>2726858</v>
      </c>
      <c r="F188" s="21">
        <f>INDEX(Data[],MATCH($A188,Data[Dist],0),MATCH(F$6,Data[#Headers],0))</f>
        <v>2726856</v>
      </c>
      <c r="G188" s="21">
        <f>INDEX(Data[],MATCH($A188,Data[Dist],0),MATCH(G$6,Data[#Headers],0))</f>
        <v>27318436</v>
      </c>
      <c r="H188" s="21">
        <f>INDEX(Data[],MATCH($A188,Data[Dist],0),MATCH(H$6,Data[#Headers],0))-G188</f>
        <v>0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5453714</v>
      </c>
      <c r="L188" s="21">
        <f>INDEX(Notes!$I$2:$N$11,MATCH(Notes!$B$2,Notes!$I$2:$I$11,0),6)*$E188</f>
        <v>8180574</v>
      </c>
      <c r="M188" s="21">
        <f>IF(Notes!$B$2="June",'Payment Total'!$F188,0)</f>
        <v>2726856</v>
      </c>
      <c r="N188" s="21">
        <f t="shared" si="8"/>
        <v>0</v>
      </c>
      <c r="P188" s="25" t="s">
        <v>1008</v>
      </c>
      <c r="Q188" s="25">
        <v>2726856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1131263</v>
      </c>
      <c r="E189" s="21">
        <f>INDEX(Data[],MATCH($A189,Data[Dist],0),MATCH(E$6,Data[#Headers],0))</f>
        <v>1131262</v>
      </c>
      <c r="F189" s="21">
        <f>INDEX(Data[],MATCH($A189,Data[Dist],0),MATCH(F$6,Data[#Headers],0))</f>
        <v>1131263</v>
      </c>
      <c r="G189" s="21">
        <f>INDEX(Data[],MATCH($A189,Data[Dist],0),MATCH(G$6,Data[#Headers],0))</f>
        <v>11335879</v>
      </c>
      <c r="H189" s="21">
        <f>INDEX(Data[],MATCH($A189,Data[Dist],0),MATCH(H$6,Data[#Headers],0))-G189</f>
        <v>0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2262526</v>
      </c>
      <c r="L189" s="21">
        <f>INDEX(Notes!$I$2:$N$11,MATCH(Notes!$B$2,Notes!$I$2:$I$11,0),6)*$E189</f>
        <v>3393786</v>
      </c>
      <c r="M189" s="21">
        <f>IF(Notes!$B$2="June",'Payment Total'!$F189,0)</f>
        <v>1131263</v>
      </c>
      <c r="N189" s="21">
        <f t="shared" si="8"/>
        <v>0</v>
      </c>
      <c r="P189" s="25" t="s">
        <v>1009</v>
      </c>
      <c r="Q189" s="25">
        <v>1131263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657429</v>
      </c>
      <c r="E190" s="21">
        <f>INDEX(Data[],MATCH($A190,Data[Dist],0),MATCH(E$6,Data[#Headers],0))</f>
        <v>657429</v>
      </c>
      <c r="F190" s="21">
        <f>INDEX(Data[],MATCH($A190,Data[Dist],0),MATCH(F$6,Data[#Headers],0))</f>
        <v>657429</v>
      </c>
      <c r="G190" s="21">
        <f>INDEX(Data[],MATCH($A190,Data[Dist],0),MATCH(G$6,Data[#Headers],0))</f>
        <v>6587522</v>
      </c>
      <c r="H190" s="21">
        <f>INDEX(Data[],MATCH($A190,Data[Dist],0),MATCH(H$6,Data[#Headers],0))-G190</f>
        <v>0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1314858</v>
      </c>
      <c r="L190" s="21">
        <f>INDEX(Notes!$I$2:$N$11,MATCH(Notes!$B$2,Notes!$I$2:$I$11,0),6)*$E190</f>
        <v>1972287</v>
      </c>
      <c r="M190" s="21">
        <f>IF(Notes!$B$2="June",'Payment Total'!$F190,0)</f>
        <v>657429</v>
      </c>
      <c r="N190" s="21">
        <f t="shared" si="8"/>
        <v>0</v>
      </c>
      <c r="P190" s="25" t="s">
        <v>1010</v>
      </c>
      <c r="Q190" s="25">
        <v>657429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279393</v>
      </c>
      <c r="E191" s="21">
        <f>INDEX(Data[],MATCH($A191,Data[Dist],0),MATCH(E$6,Data[#Headers],0))</f>
        <v>279393</v>
      </c>
      <c r="F191" s="21">
        <f>INDEX(Data[],MATCH($A191,Data[Dist],0),MATCH(F$6,Data[#Headers],0))</f>
        <v>279394</v>
      </c>
      <c r="G191" s="21">
        <f>INDEX(Data[],MATCH($A191,Data[Dist],0),MATCH(G$6,Data[#Headers],0))</f>
        <v>2798299</v>
      </c>
      <c r="H191" s="21">
        <f>INDEX(Data[],MATCH($A191,Data[Dist],0),MATCH(H$6,Data[#Headers],0))-G191</f>
        <v>0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558786</v>
      </c>
      <c r="L191" s="21">
        <f>INDEX(Notes!$I$2:$N$11,MATCH(Notes!$B$2,Notes!$I$2:$I$11,0),6)*$E191</f>
        <v>838179</v>
      </c>
      <c r="M191" s="21">
        <f>IF(Notes!$B$2="June",'Payment Total'!$F191,0)</f>
        <v>279394</v>
      </c>
      <c r="N191" s="21">
        <f t="shared" si="8"/>
        <v>0</v>
      </c>
      <c r="P191" s="25" t="s">
        <v>1011</v>
      </c>
      <c r="Q191" s="25">
        <v>279394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369832</v>
      </c>
      <c r="E192" s="21">
        <f>INDEX(Data[],MATCH($A192,Data[Dist],0),MATCH(E$6,Data[#Headers],0))</f>
        <v>369832</v>
      </c>
      <c r="F192" s="21">
        <f>INDEX(Data[],MATCH($A192,Data[Dist],0),MATCH(F$6,Data[#Headers],0))</f>
        <v>369833</v>
      </c>
      <c r="G192" s="21">
        <f>INDEX(Data[],MATCH($A192,Data[Dist],0),MATCH(G$6,Data[#Headers],0))</f>
        <v>3705829</v>
      </c>
      <c r="H192" s="21">
        <f>INDEX(Data[],MATCH($A192,Data[Dist],0),MATCH(H$6,Data[#Headers],0))-G192</f>
        <v>0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739664</v>
      </c>
      <c r="L192" s="21">
        <f>INDEX(Notes!$I$2:$N$11,MATCH(Notes!$B$2,Notes!$I$2:$I$11,0),6)*$E192</f>
        <v>1109496</v>
      </c>
      <c r="M192" s="21">
        <f>IF(Notes!$B$2="June",'Payment Total'!$F192,0)</f>
        <v>369833</v>
      </c>
      <c r="N192" s="21">
        <f t="shared" si="8"/>
        <v>0</v>
      </c>
      <c r="P192" s="25" t="s">
        <v>1012</v>
      </c>
      <c r="Q192" s="25">
        <v>369833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881687</v>
      </c>
      <c r="E193" s="21">
        <f>INDEX(Data[],MATCH($A193,Data[Dist],0),MATCH(E$6,Data[#Headers],0))</f>
        <v>881686</v>
      </c>
      <c r="F193" s="21">
        <f>INDEX(Data[],MATCH($A193,Data[Dist],0),MATCH(F$6,Data[#Headers],0))</f>
        <v>881687</v>
      </c>
      <c r="G193" s="21">
        <f>INDEX(Data[],MATCH($A193,Data[Dist],0),MATCH(G$6,Data[#Headers],0))</f>
        <v>8834415</v>
      </c>
      <c r="H193" s="21">
        <f>INDEX(Data[],MATCH($A193,Data[Dist],0),MATCH(H$6,Data[#Headers],0))-G193</f>
        <v>0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1763374</v>
      </c>
      <c r="L193" s="21">
        <f>INDEX(Notes!$I$2:$N$11,MATCH(Notes!$B$2,Notes!$I$2:$I$11,0),6)*$E193</f>
        <v>2645058</v>
      </c>
      <c r="M193" s="21">
        <f>IF(Notes!$B$2="June",'Payment Total'!$F193,0)</f>
        <v>881687</v>
      </c>
      <c r="N193" s="21">
        <f t="shared" si="8"/>
        <v>0</v>
      </c>
      <c r="P193" s="25" t="s">
        <v>1013</v>
      </c>
      <c r="Q193" s="25">
        <v>881687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583823</v>
      </c>
      <c r="E194" s="21">
        <f>INDEX(Data[],MATCH($A194,Data[Dist],0),MATCH(E$6,Data[#Headers],0))</f>
        <v>583823</v>
      </c>
      <c r="F194" s="21">
        <f>INDEX(Data[],MATCH($A194,Data[Dist],0),MATCH(F$6,Data[#Headers],0))</f>
        <v>583824</v>
      </c>
      <c r="G194" s="21">
        <f>INDEX(Data[],MATCH($A194,Data[Dist],0),MATCH(G$6,Data[#Headers],0))</f>
        <v>5849371</v>
      </c>
      <c r="H194" s="21">
        <f>INDEX(Data[],MATCH($A194,Data[Dist],0),MATCH(H$6,Data[#Headers],0))-G194</f>
        <v>0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1167646</v>
      </c>
      <c r="L194" s="21">
        <f>INDEX(Notes!$I$2:$N$11,MATCH(Notes!$B$2,Notes!$I$2:$I$11,0),6)*$E194</f>
        <v>1751469</v>
      </c>
      <c r="M194" s="21">
        <f>IF(Notes!$B$2="June",'Payment Total'!$F194,0)</f>
        <v>583824</v>
      </c>
      <c r="N194" s="21">
        <f t="shared" si="8"/>
        <v>0</v>
      </c>
      <c r="P194" s="25" t="s">
        <v>1014</v>
      </c>
      <c r="Q194" s="25">
        <v>583824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672039</v>
      </c>
      <c r="E195" s="21">
        <f>INDEX(Data[],MATCH($A195,Data[Dist],0),MATCH(E$6,Data[#Headers],0))</f>
        <v>672039</v>
      </c>
      <c r="F195" s="21">
        <f>INDEX(Data[],MATCH($A195,Data[Dist],0),MATCH(F$6,Data[#Headers],0))</f>
        <v>672038</v>
      </c>
      <c r="G195" s="21">
        <f>INDEX(Data[],MATCH($A195,Data[Dist],0),MATCH(G$6,Data[#Headers],0))</f>
        <v>6732473</v>
      </c>
      <c r="H195" s="21">
        <f>INDEX(Data[],MATCH($A195,Data[Dist],0),MATCH(H$6,Data[#Headers],0))-G195</f>
        <v>0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1344078</v>
      </c>
      <c r="L195" s="21">
        <f>INDEX(Notes!$I$2:$N$11,MATCH(Notes!$B$2,Notes!$I$2:$I$11,0),6)*$E195</f>
        <v>2016117</v>
      </c>
      <c r="M195" s="21">
        <f>IF(Notes!$B$2="June",'Payment Total'!$F195,0)</f>
        <v>672038</v>
      </c>
      <c r="N195" s="21">
        <f t="shared" si="8"/>
        <v>0</v>
      </c>
      <c r="P195" s="25" t="s">
        <v>1015</v>
      </c>
      <c r="Q195" s="25">
        <v>672038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218079</v>
      </c>
      <c r="E196" s="21">
        <f>INDEX(Data[],MATCH($A196,Data[Dist],0),MATCH(E$6,Data[#Headers],0))</f>
        <v>218079</v>
      </c>
      <c r="F196" s="21">
        <f>INDEX(Data[],MATCH($A196,Data[Dist],0),MATCH(F$6,Data[#Headers],0))</f>
        <v>218079</v>
      </c>
      <c r="G196" s="21">
        <f>INDEX(Data[],MATCH($A196,Data[Dist],0),MATCH(G$6,Data[#Headers],0))</f>
        <v>2187698</v>
      </c>
      <c r="H196" s="21">
        <f>INDEX(Data[],MATCH($A196,Data[Dist],0),MATCH(H$6,Data[#Headers],0))-G196</f>
        <v>0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436158</v>
      </c>
      <c r="L196" s="21">
        <f>INDEX(Notes!$I$2:$N$11,MATCH(Notes!$B$2,Notes!$I$2:$I$11,0),6)*$E196</f>
        <v>654237</v>
      </c>
      <c r="M196" s="21">
        <f>IF(Notes!$B$2="June",'Payment Total'!$F196,0)</f>
        <v>218079</v>
      </c>
      <c r="N196" s="21">
        <f t="shared" si="8"/>
        <v>0</v>
      </c>
      <c r="P196" s="25" t="s">
        <v>1016</v>
      </c>
      <c r="Q196" s="25">
        <v>218079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781713</v>
      </c>
      <c r="E197" s="21">
        <f>INDEX(Data[],MATCH($A197,Data[Dist],0),MATCH(E$6,Data[#Headers],0))</f>
        <v>781713</v>
      </c>
      <c r="F197" s="21">
        <f>INDEX(Data[],MATCH($A197,Data[Dist],0),MATCH(F$6,Data[#Headers],0))</f>
        <v>781714</v>
      </c>
      <c r="G197" s="21">
        <f>INDEX(Data[],MATCH($A197,Data[Dist],0),MATCH(G$6,Data[#Headers],0))</f>
        <v>7831843</v>
      </c>
      <c r="H197" s="21">
        <f>INDEX(Data[],MATCH($A197,Data[Dist],0),MATCH(H$6,Data[#Headers],0))-G197</f>
        <v>0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1563426</v>
      </c>
      <c r="L197" s="21">
        <f>INDEX(Notes!$I$2:$N$11,MATCH(Notes!$B$2,Notes!$I$2:$I$11,0),6)*$E197</f>
        <v>2345139</v>
      </c>
      <c r="M197" s="21">
        <f>IF(Notes!$B$2="June",'Payment Total'!$F197,0)</f>
        <v>781714</v>
      </c>
      <c r="N197" s="21">
        <f t="shared" si="8"/>
        <v>0</v>
      </c>
      <c r="P197" s="25" t="s">
        <v>1017</v>
      </c>
      <c r="Q197" s="25">
        <v>781714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262292</v>
      </c>
      <c r="E198" s="21">
        <f>INDEX(Data[],MATCH($A198,Data[Dist],0),MATCH(E$6,Data[#Headers],0))</f>
        <v>262292</v>
      </c>
      <c r="F198" s="21">
        <f>INDEX(Data[],MATCH($A198,Data[Dist],0),MATCH(F$6,Data[#Headers],0))</f>
        <v>262290</v>
      </c>
      <c r="G198" s="21">
        <f>INDEX(Data[],MATCH($A198,Data[Dist],0),MATCH(G$6,Data[#Headers],0))</f>
        <v>2627546</v>
      </c>
      <c r="H198" s="21">
        <f>INDEX(Data[],MATCH($A198,Data[Dist],0),MATCH(H$6,Data[#Headers],0))-G198</f>
        <v>0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524584</v>
      </c>
      <c r="L198" s="21">
        <f>INDEX(Notes!$I$2:$N$11,MATCH(Notes!$B$2,Notes!$I$2:$I$11,0),6)*$E198</f>
        <v>786876</v>
      </c>
      <c r="M198" s="21">
        <f>IF(Notes!$B$2="June",'Payment Total'!$F198,0)</f>
        <v>262290</v>
      </c>
      <c r="N198" s="21">
        <f t="shared" si="8"/>
        <v>0</v>
      </c>
      <c r="P198" s="25" t="s">
        <v>1018</v>
      </c>
      <c r="Q198" s="25">
        <v>262290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203812</v>
      </c>
      <c r="E199" s="21">
        <f>INDEX(Data[],MATCH($A199,Data[Dist],0),MATCH(E$6,Data[#Headers],0))</f>
        <v>203812</v>
      </c>
      <c r="F199" s="21">
        <f>INDEX(Data[],MATCH($A199,Data[Dist],0),MATCH(F$6,Data[#Headers],0))</f>
        <v>203813</v>
      </c>
      <c r="G199" s="21">
        <f>INDEX(Data[],MATCH($A199,Data[Dist],0),MATCH(G$6,Data[#Headers],0))</f>
        <v>2041261</v>
      </c>
      <c r="H199" s="21">
        <f>INDEX(Data[],MATCH($A199,Data[Dist],0),MATCH(H$6,Data[#Headers],0))-G199</f>
        <v>0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407624</v>
      </c>
      <c r="L199" s="21">
        <f>INDEX(Notes!$I$2:$N$11,MATCH(Notes!$B$2,Notes!$I$2:$I$11,0),6)*$E199</f>
        <v>611436</v>
      </c>
      <c r="M199" s="21">
        <f>IF(Notes!$B$2="June",'Payment Total'!$F199,0)</f>
        <v>203813</v>
      </c>
      <c r="N199" s="21">
        <f t="shared" si="8"/>
        <v>0</v>
      </c>
      <c r="P199" s="25" t="s">
        <v>1019</v>
      </c>
      <c r="Q199" s="25">
        <v>203813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176016</v>
      </c>
      <c r="E200" s="21">
        <f>INDEX(Data[],MATCH($A200,Data[Dist],0),MATCH(E$6,Data[#Headers],0))</f>
        <v>176016</v>
      </c>
      <c r="F200" s="21">
        <f>INDEX(Data[],MATCH($A200,Data[Dist],0),MATCH(F$6,Data[#Headers],0))</f>
        <v>176017</v>
      </c>
      <c r="G200" s="21">
        <f>INDEX(Data[],MATCH($A200,Data[Dist],0),MATCH(G$6,Data[#Headers],0))</f>
        <v>1763065</v>
      </c>
      <c r="H200" s="21">
        <f>INDEX(Data[],MATCH($A200,Data[Dist],0),MATCH(H$6,Data[#Headers],0))-G200</f>
        <v>0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352032</v>
      </c>
      <c r="L200" s="21">
        <f>INDEX(Notes!$I$2:$N$11,MATCH(Notes!$B$2,Notes!$I$2:$I$11,0),6)*$E200</f>
        <v>528048</v>
      </c>
      <c r="M200" s="21">
        <f>IF(Notes!$B$2="June",'Payment Total'!$F200,0)</f>
        <v>176017</v>
      </c>
      <c r="N200" s="21">
        <f t="shared" ref="N200:N263" si="12">SUM(J200:M200)-G200</f>
        <v>0</v>
      </c>
      <c r="P200" s="25" t="s">
        <v>1020</v>
      </c>
      <c r="Q200" s="25">
        <v>176017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INDEX($A$7:$H$331,MATCH($S200,$A$7:$A$331,0),6)-Q200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176125</v>
      </c>
      <c r="E201" s="21">
        <f>INDEX(Data[],MATCH($A201,Data[Dist],0),MATCH(E$6,Data[#Headers],0))</f>
        <v>176125</v>
      </c>
      <c r="F201" s="21">
        <f>INDEX(Data[],MATCH($A201,Data[Dist],0),MATCH(F$6,Data[#Headers],0))</f>
        <v>176125</v>
      </c>
      <c r="G201" s="21">
        <f>INDEX(Data[],MATCH($A201,Data[Dist],0),MATCH(G$6,Data[#Headers],0))</f>
        <v>1764350</v>
      </c>
      <c r="H201" s="21">
        <f>INDEX(Data[],MATCH($A201,Data[Dist],0),MATCH(H$6,Data[#Headers],0))-G201</f>
        <v>0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352250</v>
      </c>
      <c r="L201" s="21">
        <f>INDEX(Notes!$I$2:$N$11,MATCH(Notes!$B$2,Notes!$I$2:$I$11,0),6)*$E201</f>
        <v>528375</v>
      </c>
      <c r="M201" s="21">
        <f>IF(Notes!$B$2="June",'Payment Total'!$F201,0)</f>
        <v>176125</v>
      </c>
      <c r="N201" s="21">
        <f t="shared" si="12"/>
        <v>0</v>
      </c>
      <c r="P201" s="25" t="s">
        <v>1021</v>
      </c>
      <c r="Q201" s="25">
        <v>176125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438349</v>
      </c>
      <c r="E202" s="21">
        <f>INDEX(Data[],MATCH($A202,Data[Dist],0),MATCH(E$6,Data[#Headers],0))</f>
        <v>436855</v>
      </c>
      <c r="F202" s="21">
        <f>INDEX(Data[],MATCH($A202,Data[Dist],0),MATCH(F$6,Data[#Headers],0))</f>
        <v>436854</v>
      </c>
      <c r="G202" s="21">
        <f>INDEX(Data[],MATCH($A202,Data[Dist],0),MATCH(G$6,Data[#Headers],0))</f>
        <v>4386445</v>
      </c>
      <c r="H202" s="21">
        <f>INDEX(Data[],MATCH($A202,Data[Dist],0),MATCH(H$6,Data[#Headers],0))-G202</f>
        <v>0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876698</v>
      </c>
      <c r="L202" s="21">
        <f>INDEX(Notes!$I$2:$N$11,MATCH(Notes!$B$2,Notes!$I$2:$I$11,0),6)*$E202</f>
        <v>1310565</v>
      </c>
      <c r="M202" s="21">
        <f>IF(Notes!$B$2="June",'Payment Total'!$F202,0)</f>
        <v>436854</v>
      </c>
      <c r="N202" s="21">
        <f t="shared" si="12"/>
        <v>0</v>
      </c>
      <c r="P202" s="25" t="s">
        <v>1022</v>
      </c>
      <c r="Q202" s="25">
        <v>436854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1464216</v>
      </c>
      <c r="E203" s="21">
        <f>INDEX(Data[],MATCH($A203,Data[Dist],0),MATCH(E$6,Data[#Headers],0))</f>
        <v>1464216</v>
      </c>
      <c r="F203" s="21">
        <f>INDEX(Data[],MATCH($A203,Data[Dist],0),MATCH(F$6,Data[#Headers],0))</f>
        <v>1464217</v>
      </c>
      <c r="G203" s="21">
        <f>INDEX(Data[],MATCH($A203,Data[Dist],0),MATCH(G$6,Data[#Headers],0))</f>
        <v>14668873</v>
      </c>
      <c r="H203" s="21">
        <f>INDEX(Data[],MATCH($A203,Data[Dist],0),MATCH(H$6,Data[#Headers],0))-G203</f>
        <v>0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2928432</v>
      </c>
      <c r="L203" s="21">
        <f>INDEX(Notes!$I$2:$N$11,MATCH(Notes!$B$2,Notes!$I$2:$I$11,0),6)*$E203</f>
        <v>4392648</v>
      </c>
      <c r="M203" s="21">
        <f>IF(Notes!$B$2="June",'Payment Total'!$F203,0)</f>
        <v>1464217</v>
      </c>
      <c r="N203" s="21">
        <f t="shared" si="12"/>
        <v>0</v>
      </c>
      <c r="P203" s="25" t="s">
        <v>1023</v>
      </c>
      <c r="Q203" s="25">
        <v>1464217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865599</v>
      </c>
      <c r="E204" s="21">
        <f>INDEX(Data[],MATCH($A204,Data[Dist],0),MATCH(E$6,Data[#Headers],0))</f>
        <v>865600</v>
      </c>
      <c r="F204" s="21">
        <f>INDEX(Data[],MATCH($A204,Data[Dist],0),MATCH(F$6,Data[#Headers],0))</f>
        <v>865598</v>
      </c>
      <c r="G204" s="21">
        <f>INDEX(Data[],MATCH($A204,Data[Dist],0),MATCH(G$6,Data[#Headers],0))</f>
        <v>8672416</v>
      </c>
      <c r="H204" s="21">
        <f>INDEX(Data[],MATCH($A204,Data[Dist],0),MATCH(H$6,Data[#Headers],0))-G204</f>
        <v>0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1731198</v>
      </c>
      <c r="L204" s="21">
        <f>INDEX(Notes!$I$2:$N$11,MATCH(Notes!$B$2,Notes!$I$2:$I$11,0),6)*$E204</f>
        <v>2596800</v>
      </c>
      <c r="M204" s="21">
        <f>IF(Notes!$B$2="June",'Payment Total'!$F204,0)</f>
        <v>865598</v>
      </c>
      <c r="N204" s="21">
        <f t="shared" si="12"/>
        <v>0</v>
      </c>
      <c r="P204" s="25" t="s">
        <v>1024</v>
      </c>
      <c r="Q204" s="25">
        <v>865598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215974</v>
      </c>
      <c r="E205" s="21">
        <f>INDEX(Data[],MATCH($A205,Data[Dist],0),MATCH(E$6,Data[#Headers],0))</f>
        <v>215973</v>
      </c>
      <c r="F205" s="21">
        <f>INDEX(Data[],MATCH($A205,Data[Dist],0),MATCH(F$6,Data[#Headers],0))</f>
        <v>215974</v>
      </c>
      <c r="G205" s="21">
        <f>INDEX(Data[],MATCH($A205,Data[Dist],0),MATCH(G$6,Data[#Headers],0))</f>
        <v>2163069</v>
      </c>
      <c r="H205" s="21">
        <f>INDEX(Data[],MATCH($A205,Data[Dist],0),MATCH(H$6,Data[#Headers],0))-G205</f>
        <v>0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431948</v>
      </c>
      <c r="L205" s="21">
        <f>INDEX(Notes!$I$2:$N$11,MATCH(Notes!$B$2,Notes!$I$2:$I$11,0),6)*$E205</f>
        <v>647919</v>
      </c>
      <c r="M205" s="21">
        <f>IF(Notes!$B$2="June",'Payment Total'!$F205,0)</f>
        <v>215974</v>
      </c>
      <c r="N205" s="21">
        <f t="shared" si="12"/>
        <v>0</v>
      </c>
      <c r="P205" s="25" t="s">
        <v>1025</v>
      </c>
      <c r="Q205" s="25">
        <v>215974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3744461</v>
      </c>
      <c r="E206" s="21">
        <f>INDEX(Data[],MATCH($A206,Data[Dist],0),MATCH(E$6,Data[#Headers],0))</f>
        <v>3744461</v>
      </c>
      <c r="F206" s="21">
        <f>INDEX(Data[],MATCH($A206,Data[Dist],0),MATCH(F$6,Data[#Headers],0))</f>
        <v>3744461</v>
      </c>
      <c r="G206" s="21">
        <f>INDEX(Data[],MATCH($A206,Data[Dist],0),MATCH(G$6,Data[#Headers],0))</f>
        <v>37510218</v>
      </c>
      <c r="H206" s="21">
        <f>INDEX(Data[],MATCH($A206,Data[Dist],0),MATCH(H$6,Data[#Headers],0))-G206</f>
        <v>0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7488922</v>
      </c>
      <c r="L206" s="21">
        <f>INDEX(Notes!$I$2:$N$11,MATCH(Notes!$B$2,Notes!$I$2:$I$11,0),6)*$E206</f>
        <v>11233383</v>
      </c>
      <c r="M206" s="21">
        <f>IF(Notes!$B$2="June",'Payment Total'!$F206,0)</f>
        <v>3744461</v>
      </c>
      <c r="N206" s="21">
        <f t="shared" si="12"/>
        <v>0</v>
      </c>
      <c r="P206" s="25" t="s">
        <v>1026</v>
      </c>
      <c r="Q206" s="25">
        <v>3744461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441281</v>
      </c>
      <c r="E207" s="21">
        <f>INDEX(Data[],MATCH($A207,Data[Dist],0),MATCH(E$6,Data[#Headers],0))</f>
        <v>441282</v>
      </c>
      <c r="F207" s="21">
        <f>INDEX(Data[],MATCH($A207,Data[Dist],0),MATCH(F$6,Data[#Headers],0))</f>
        <v>441280</v>
      </c>
      <c r="G207" s="21">
        <f>INDEX(Data[],MATCH($A207,Data[Dist],0),MATCH(G$6,Data[#Headers],0))</f>
        <v>4421532</v>
      </c>
      <c r="H207" s="21">
        <f>INDEX(Data[],MATCH($A207,Data[Dist],0),MATCH(H$6,Data[#Headers],0))-G207</f>
        <v>0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882562</v>
      </c>
      <c r="L207" s="21">
        <f>INDEX(Notes!$I$2:$N$11,MATCH(Notes!$B$2,Notes!$I$2:$I$11,0),6)*$E207</f>
        <v>1323846</v>
      </c>
      <c r="M207" s="21">
        <f>IF(Notes!$B$2="June",'Payment Total'!$F207,0)</f>
        <v>441280</v>
      </c>
      <c r="N207" s="21">
        <f t="shared" si="12"/>
        <v>0</v>
      </c>
      <c r="P207" s="25" t="s">
        <v>1027</v>
      </c>
      <c r="Q207" s="25">
        <v>441280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1116372</v>
      </c>
      <c r="E208" s="21">
        <f>INDEX(Data[],MATCH($A208,Data[Dist],0),MATCH(E$6,Data[#Headers],0))</f>
        <v>1116371</v>
      </c>
      <c r="F208" s="21">
        <f>INDEX(Data[],MATCH($A208,Data[Dist],0),MATCH(F$6,Data[#Headers],0))</f>
        <v>1116372</v>
      </c>
      <c r="G208" s="21">
        <f>INDEX(Data[],MATCH($A208,Data[Dist],0),MATCH(G$6,Data[#Headers],0))</f>
        <v>11184981</v>
      </c>
      <c r="H208" s="21">
        <f>INDEX(Data[],MATCH($A208,Data[Dist],0),MATCH(H$6,Data[#Headers],0))-G208</f>
        <v>0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2232744</v>
      </c>
      <c r="L208" s="21">
        <f>INDEX(Notes!$I$2:$N$11,MATCH(Notes!$B$2,Notes!$I$2:$I$11,0),6)*$E208</f>
        <v>3349113</v>
      </c>
      <c r="M208" s="21">
        <f>IF(Notes!$B$2="June",'Payment Total'!$F208,0)</f>
        <v>1116372</v>
      </c>
      <c r="N208" s="21">
        <f t="shared" si="12"/>
        <v>0</v>
      </c>
      <c r="P208" s="25" t="s">
        <v>1028</v>
      </c>
      <c r="Q208" s="25">
        <v>1116372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315509</v>
      </c>
      <c r="E209" s="21">
        <f>INDEX(Data[],MATCH($A209,Data[Dist],0),MATCH(E$6,Data[#Headers],0))</f>
        <v>315510</v>
      </c>
      <c r="F209" s="21">
        <f>INDEX(Data[],MATCH($A209,Data[Dist],0),MATCH(F$6,Data[#Headers],0))</f>
        <v>315508</v>
      </c>
      <c r="G209" s="21">
        <f>INDEX(Data[],MATCH($A209,Data[Dist],0),MATCH(G$6,Data[#Headers],0))</f>
        <v>3161964</v>
      </c>
      <c r="H209" s="21">
        <f>INDEX(Data[],MATCH($A209,Data[Dist],0),MATCH(H$6,Data[#Headers],0))-G209</f>
        <v>0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631018</v>
      </c>
      <c r="L209" s="21">
        <f>INDEX(Notes!$I$2:$N$11,MATCH(Notes!$B$2,Notes!$I$2:$I$11,0),6)*$E209</f>
        <v>946530</v>
      </c>
      <c r="M209" s="21">
        <f>IF(Notes!$B$2="June",'Payment Total'!$F209,0)</f>
        <v>315508</v>
      </c>
      <c r="N209" s="21">
        <f t="shared" si="12"/>
        <v>0</v>
      </c>
      <c r="P209" s="25" t="s">
        <v>1029</v>
      </c>
      <c r="Q209" s="25">
        <v>315508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725439</v>
      </c>
      <c r="E210" s="21">
        <f>INDEX(Data[],MATCH($A210,Data[Dist],0),MATCH(E$6,Data[#Headers],0))</f>
        <v>725440</v>
      </c>
      <c r="F210" s="21">
        <f>INDEX(Data[],MATCH($A210,Data[Dist],0),MATCH(F$6,Data[#Headers],0))</f>
        <v>725438</v>
      </c>
      <c r="G210" s="21">
        <f>INDEX(Data[],MATCH($A210,Data[Dist],0),MATCH(G$6,Data[#Headers],0))</f>
        <v>7269488</v>
      </c>
      <c r="H210" s="21">
        <f>INDEX(Data[],MATCH($A210,Data[Dist],0),MATCH(H$6,Data[#Headers],0))-G210</f>
        <v>0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1450878</v>
      </c>
      <c r="L210" s="21">
        <f>INDEX(Notes!$I$2:$N$11,MATCH(Notes!$B$2,Notes!$I$2:$I$11,0),6)*$E210</f>
        <v>2176320</v>
      </c>
      <c r="M210" s="21">
        <f>IF(Notes!$B$2="June",'Payment Total'!$F210,0)</f>
        <v>725438</v>
      </c>
      <c r="N210" s="21">
        <f t="shared" si="12"/>
        <v>0</v>
      </c>
      <c r="P210" s="25" t="s">
        <v>1030</v>
      </c>
      <c r="Q210" s="25">
        <v>725438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497949</v>
      </c>
      <c r="E211" s="21">
        <f>INDEX(Data[],MATCH($A211,Data[Dist],0),MATCH(E$6,Data[#Headers],0))</f>
        <v>497949</v>
      </c>
      <c r="F211" s="21">
        <f>INDEX(Data[],MATCH($A211,Data[Dist],0),MATCH(F$6,Data[#Headers],0))</f>
        <v>497949</v>
      </c>
      <c r="G211" s="21">
        <f>INDEX(Data[],MATCH($A211,Data[Dist],0),MATCH(G$6,Data[#Headers],0))</f>
        <v>4987774</v>
      </c>
      <c r="H211" s="21">
        <f>INDEX(Data[],MATCH($A211,Data[Dist],0),MATCH(H$6,Data[#Headers],0))-G211</f>
        <v>0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995898</v>
      </c>
      <c r="L211" s="21">
        <f>INDEX(Notes!$I$2:$N$11,MATCH(Notes!$B$2,Notes!$I$2:$I$11,0),6)*$E211</f>
        <v>1493847</v>
      </c>
      <c r="M211" s="21">
        <f>IF(Notes!$B$2="June",'Payment Total'!$F211,0)</f>
        <v>497949</v>
      </c>
      <c r="N211" s="21">
        <f t="shared" si="12"/>
        <v>0</v>
      </c>
      <c r="P211" s="25" t="s">
        <v>1031</v>
      </c>
      <c r="Q211" s="25">
        <v>497949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2491674</v>
      </c>
      <c r="E212" s="21">
        <f>INDEX(Data[],MATCH($A212,Data[Dist],0),MATCH(E$6,Data[#Headers],0))</f>
        <v>2491674</v>
      </c>
      <c r="F212" s="21">
        <f>INDEX(Data[],MATCH($A212,Data[Dist],0),MATCH(F$6,Data[#Headers],0))</f>
        <v>2491674</v>
      </c>
      <c r="G212" s="21">
        <f>INDEX(Data[],MATCH($A212,Data[Dist],0),MATCH(G$6,Data[#Headers],0))</f>
        <v>24959968</v>
      </c>
      <c r="H212" s="21">
        <f>INDEX(Data[],MATCH($A212,Data[Dist],0),MATCH(H$6,Data[#Headers],0))-G212</f>
        <v>0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4983348</v>
      </c>
      <c r="L212" s="21">
        <f>INDEX(Notes!$I$2:$N$11,MATCH(Notes!$B$2,Notes!$I$2:$I$11,0),6)*$E212</f>
        <v>7475022</v>
      </c>
      <c r="M212" s="21">
        <f>IF(Notes!$B$2="June",'Payment Total'!$F212,0)</f>
        <v>2491674</v>
      </c>
      <c r="N212" s="21">
        <f t="shared" si="12"/>
        <v>0</v>
      </c>
      <c r="P212" s="25" t="s">
        <v>1032</v>
      </c>
      <c r="Q212" s="25">
        <v>2491674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568946</v>
      </c>
      <c r="E213" s="21">
        <f>INDEX(Data[],MATCH($A213,Data[Dist],0),MATCH(E$6,Data[#Headers],0))</f>
        <v>568947</v>
      </c>
      <c r="F213" s="21">
        <f>INDEX(Data[],MATCH($A213,Data[Dist],0),MATCH(F$6,Data[#Headers],0))</f>
        <v>568945</v>
      </c>
      <c r="G213" s="21">
        <f>INDEX(Data[],MATCH($A213,Data[Dist],0),MATCH(G$6,Data[#Headers],0))</f>
        <v>5701114</v>
      </c>
      <c r="H213" s="21">
        <f>INDEX(Data[],MATCH($A213,Data[Dist],0),MATCH(H$6,Data[#Headers],0))-G213</f>
        <v>0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1137892</v>
      </c>
      <c r="L213" s="21">
        <f>INDEX(Notes!$I$2:$N$11,MATCH(Notes!$B$2,Notes!$I$2:$I$11,0),6)*$E213</f>
        <v>1706841</v>
      </c>
      <c r="M213" s="21">
        <f>IF(Notes!$B$2="June",'Payment Total'!$F213,0)</f>
        <v>568945</v>
      </c>
      <c r="N213" s="21">
        <f t="shared" si="12"/>
        <v>0</v>
      </c>
      <c r="P213" s="25" t="s">
        <v>1033</v>
      </c>
      <c r="Q213" s="25">
        <v>568945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402373</v>
      </c>
      <c r="E214" s="21">
        <f>INDEX(Data[],MATCH($A214,Data[Dist],0),MATCH(E$6,Data[#Headers],0))</f>
        <v>402373</v>
      </c>
      <c r="F214" s="21">
        <f>INDEX(Data[],MATCH($A214,Data[Dist],0),MATCH(F$6,Data[#Headers],0))</f>
        <v>402373</v>
      </c>
      <c r="G214" s="21">
        <f>INDEX(Data[],MATCH($A214,Data[Dist],0),MATCH(G$6,Data[#Headers],0))</f>
        <v>4031194</v>
      </c>
      <c r="H214" s="21">
        <f>INDEX(Data[],MATCH($A214,Data[Dist],0),MATCH(H$6,Data[#Headers],0))-G214</f>
        <v>0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804746</v>
      </c>
      <c r="L214" s="21">
        <f>INDEX(Notes!$I$2:$N$11,MATCH(Notes!$B$2,Notes!$I$2:$I$11,0),6)*$E214</f>
        <v>1207119</v>
      </c>
      <c r="M214" s="21">
        <f>IF(Notes!$B$2="June",'Payment Total'!$F214,0)</f>
        <v>402373</v>
      </c>
      <c r="N214" s="21">
        <f t="shared" si="12"/>
        <v>0</v>
      </c>
      <c r="P214" s="25" t="s">
        <v>1034</v>
      </c>
      <c r="Q214" s="25">
        <v>402373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904846</v>
      </c>
      <c r="E215" s="21">
        <f>INDEX(Data[],MATCH($A215,Data[Dist],0),MATCH(E$6,Data[#Headers],0))</f>
        <v>904846</v>
      </c>
      <c r="F215" s="21">
        <f>INDEX(Data[],MATCH($A215,Data[Dist],0),MATCH(F$6,Data[#Headers],0))</f>
        <v>904846</v>
      </c>
      <c r="G215" s="21">
        <f>INDEX(Data[],MATCH($A215,Data[Dist],0),MATCH(G$6,Data[#Headers],0))</f>
        <v>9065308</v>
      </c>
      <c r="H215" s="21">
        <f>INDEX(Data[],MATCH($A215,Data[Dist],0),MATCH(H$6,Data[#Headers],0))-G215</f>
        <v>0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1809692</v>
      </c>
      <c r="L215" s="21">
        <f>INDEX(Notes!$I$2:$N$11,MATCH(Notes!$B$2,Notes!$I$2:$I$11,0),6)*$E215</f>
        <v>2714538</v>
      </c>
      <c r="M215" s="21">
        <f>IF(Notes!$B$2="June",'Payment Total'!$F215,0)</f>
        <v>904846</v>
      </c>
      <c r="N215" s="21">
        <f t="shared" si="12"/>
        <v>0</v>
      </c>
      <c r="P215" s="25" t="s">
        <v>1035</v>
      </c>
      <c r="Q215" s="25">
        <v>904846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342904</v>
      </c>
      <c r="E216" s="21">
        <f>INDEX(Data[],MATCH($A216,Data[Dist],0),MATCH(E$6,Data[#Headers],0))</f>
        <v>342904</v>
      </c>
      <c r="F216" s="21">
        <f>INDEX(Data[],MATCH($A216,Data[Dist],0),MATCH(F$6,Data[#Headers],0))</f>
        <v>342904</v>
      </c>
      <c r="G216" s="21">
        <f>INDEX(Data[],MATCH($A216,Data[Dist],0),MATCH(G$6,Data[#Headers],0))</f>
        <v>3436208</v>
      </c>
      <c r="H216" s="21">
        <f>INDEX(Data[],MATCH($A216,Data[Dist],0),MATCH(H$6,Data[#Headers],0))-G216</f>
        <v>0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685808</v>
      </c>
      <c r="L216" s="21">
        <f>INDEX(Notes!$I$2:$N$11,MATCH(Notes!$B$2,Notes!$I$2:$I$11,0),6)*$E216</f>
        <v>1028712</v>
      </c>
      <c r="M216" s="21">
        <f>IF(Notes!$B$2="June",'Payment Total'!$F216,0)</f>
        <v>342904</v>
      </c>
      <c r="N216" s="21">
        <f t="shared" si="12"/>
        <v>0</v>
      </c>
      <c r="P216" s="25" t="s">
        <v>1036</v>
      </c>
      <c r="Q216" s="25">
        <v>342904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405958</v>
      </c>
      <c r="E217" s="21">
        <f>INDEX(Data[],MATCH($A217,Data[Dist],0),MATCH(E$6,Data[#Headers],0))</f>
        <v>405959</v>
      </c>
      <c r="F217" s="21">
        <f>INDEX(Data[],MATCH($A217,Data[Dist],0),MATCH(F$6,Data[#Headers],0))</f>
        <v>405957</v>
      </c>
      <c r="G217" s="21">
        <f>INDEX(Data[],MATCH($A217,Data[Dist],0),MATCH(G$6,Data[#Headers],0))</f>
        <v>4068074</v>
      </c>
      <c r="H217" s="21">
        <f>INDEX(Data[],MATCH($A217,Data[Dist],0),MATCH(H$6,Data[#Headers],0))-G217</f>
        <v>0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811916</v>
      </c>
      <c r="L217" s="21">
        <f>INDEX(Notes!$I$2:$N$11,MATCH(Notes!$B$2,Notes!$I$2:$I$11,0),6)*$E217</f>
        <v>1217877</v>
      </c>
      <c r="M217" s="21">
        <f>IF(Notes!$B$2="June",'Payment Total'!$F217,0)</f>
        <v>405957</v>
      </c>
      <c r="N217" s="21">
        <f t="shared" si="12"/>
        <v>0</v>
      </c>
      <c r="P217" s="25" t="s">
        <v>1037</v>
      </c>
      <c r="Q217" s="25">
        <v>405957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95127</v>
      </c>
      <c r="E218" s="21">
        <f>INDEX(Data[],MATCH($A218,Data[Dist],0),MATCH(E$6,Data[#Headers],0))</f>
        <v>95128</v>
      </c>
      <c r="F218" s="21">
        <f>INDEX(Data[],MATCH($A218,Data[Dist],0),MATCH(F$6,Data[#Headers],0))</f>
        <v>95126</v>
      </c>
      <c r="G218" s="21">
        <f>INDEX(Data[],MATCH($A218,Data[Dist],0),MATCH(G$6,Data[#Headers],0))</f>
        <v>954792</v>
      </c>
      <c r="H218" s="21">
        <f>INDEX(Data[],MATCH($A218,Data[Dist],0),MATCH(H$6,Data[#Headers],0))-G218</f>
        <v>0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190254</v>
      </c>
      <c r="L218" s="21">
        <f>INDEX(Notes!$I$2:$N$11,MATCH(Notes!$B$2,Notes!$I$2:$I$11,0),6)*$E218</f>
        <v>285384</v>
      </c>
      <c r="M218" s="21">
        <f>IF(Notes!$B$2="June",'Payment Total'!$F218,0)</f>
        <v>95126</v>
      </c>
      <c r="N218" s="21">
        <f t="shared" si="12"/>
        <v>0</v>
      </c>
      <c r="P218" s="25" t="s">
        <v>1038</v>
      </c>
      <c r="Q218" s="25">
        <v>95126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1772854</v>
      </c>
      <c r="E219" s="21">
        <f>INDEX(Data[],MATCH($A219,Data[Dist],0),MATCH(E$6,Data[#Headers],0))</f>
        <v>1772854</v>
      </c>
      <c r="F219" s="21">
        <f>INDEX(Data[],MATCH($A219,Data[Dist],0),MATCH(F$6,Data[#Headers],0))</f>
        <v>1772855</v>
      </c>
      <c r="G219" s="21">
        <f>INDEX(Data[],MATCH($A219,Data[Dist],0),MATCH(G$6,Data[#Headers],0))</f>
        <v>17761861</v>
      </c>
      <c r="H219" s="21">
        <f>INDEX(Data[],MATCH($A219,Data[Dist],0),MATCH(H$6,Data[#Headers],0))-G219</f>
        <v>0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3545708</v>
      </c>
      <c r="L219" s="21">
        <f>INDEX(Notes!$I$2:$N$11,MATCH(Notes!$B$2,Notes!$I$2:$I$11,0),6)*$E219</f>
        <v>5318562</v>
      </c>
      <c r="M219" s="21">
        <f>IF(Notes!$B$2="June",'Payment Total'!$F219,0)</f>
        <v>1772855</v>
      </c>
      <c r="N219" s="21">
        <f t="shared" si="12"/>
        <v>0</v>
      </c>
      <c r="P219" s="25" t="s">
        <v>1039</v>
      </c>
      <c r="Q219" s="25">
        <v>1772855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2109111</v>
      </c>
      <c r="E220" s="21">
        <f>INDEX(Data[],MATCH($A220,Data[Dist],0),MATCH(E$6,Data[#Headers],0))</f>
        <v>2109111</v>
      </c>
      <c r="F220" s="21">
        <f>INDEX(Data[],MATCH($A220,Data[Dist],0),MATCH(F$6,Data[#Headers],0))</f>
        <v>2109110</v>
      </c>
      <c r="G220" s="21">
        <f>INDEX(Data[],MATCH($A220,Data[Dist],0),MATCH(G$6,Data[#Headers],0))</f>
        <v>21136581</v>
      </c>
      <c r="H220" s="21">
        <f>INDEX(Data[],MATCH($A220,Data[Dist],0),MATCH(H$6,Data[#Headers],0))-G220</f>
        <v>0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4218222</v>
      </c>
      <c r="L220" s="21">
        <f>INDEX(Notes!$I$2:$N$11,MATCH(Notes!$B$2,Notes!$I$2:$I$11,0),6)*$E220</f>
        <v>6327333</v>
      </c>
      <c r="M220" s="21">
        <f>IF(Notes!$B$2="June",'Payment Total'!$F220,0)</f>
        <v>2109110</v>
      </c>
      <c r="N220" s="21">
        <f t="shared" si="12"/>
        <v>0</v>
      </c>
      <c r="P220" s="25" t="s">
        <v>1040</v>
      </c>
      <c r="Q220" s="25">
        <v>2109110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339714</v>
      </c>
      <c r="E221" s="21">
        <f>INDEX(Data[],MATCH($A221,Data[Dist],0),MATCH(E$6,Data[#Headers],0))</f>
        <v>339715</v>
      </c>
      <c r="F221" s="21">
        <f>INDEX(Data[],MATCH($A221,Data[Dist],0),MATCH(F$6,Data[#Headers],0))</f>
        <v>339713</v>
      </c>
      <c r="G221" s="21">
        <f>INDEX(Data[],MATCH($A221,Data[Dist],0),MATCH(G$6,Data[#Headers],0))</f>
        <v>3404018</v>
      </c>
      <c r="H221" s="21">
        <f>INDEX(Data[],MATCH($A221,Data[Dist],0),MATCH(H$6,Data[#Headers],0))-G221</f>
        <v>0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679428</v>
      </c>
      <c r="L221" s="21">
        <f>INDEX(Notes!$I$2:$N$11,MATCH(Notes!$B$2,Notes!$I$2:$I$11,0),6)*$E221</f>
        <v>1019145</v>
      </c>
      <c r="M221" s="21">
        <f>IF(Notes!$B$2="June",'Payment Total'!$F221,0)</f>
        <v>339713</v>
      </c>
      <c r="N221" s="21">
        <f t="shared" si="12"/>
        <v>0</v>
      </c>
      <c r="P221" s="25" t="s">
        <v>1041</v>
      </c>
      <c r="Q221" s="25">
        <v>339713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357112</v>
      </c>
      <c r="E222" s="21">
        <f>INDEX(Data[],MATCH($A222,Data[Dist],0),MATCH(E$6,Data[#Headers],0))</f>
        <v>303085</v>
      </c>
      <c r="F222" s="21">
        <f>INDEX(Data[],MATCH($A222,Data[Dist],0),MATCH(F$6,Data[#Headers],0))</f>
        <v>303085</v>
      </c>
      <c r="G222" s="21">
        <f>INDEX(Data[],MATCH($A222,Data[Dist],0),MATCH(G$6,Data[#Headers],0))</f>
        <v>3362456</v>
      </c>
      <c r="H222" s="21">
        <f>INDEX(Data[],MATCH($A222,Data[Dist],0),MATCH(H$6,Data[#Headers],0))-G222</f>
        <v>0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714224</v>
      </c>
      <c r="L222" s="21">
        <f>INDEX(Notes!$I$2:$N$11,MATCH(Notes!$B$2,Notes!$I$2:$I$11,0),6)*$E222</f>
        <v>909255</v>
      </c>
      <c r="M222" s="21">
        <f>IF(Notes!$B$2="June",'Payment Total'!$F222,0)</f>
        <v>303085</v>
      </c>
      <c r="N222" s="21">
        <f t="shared" si="12"/>
        <v>0</v>
      </c>
      <c r="P222" s="25" t="s">
        <v>1042</v>
      </c>
      <c r="Q222" s="25">
        <v>303085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2884136</v>
      </c>
      <c r="E223" s="21">
        <f>INDEX(Data[],MATCH($A223,Data[Dist],0),MATCH(E$6,Data[#Headers],0))</f>
        <v>2884136</v>
      </c>
      <c r="F223" s="21">
        <f>INDEX(Data[],MATCH($A223,Data[Dist],0),MATCH(F$6,Data[#Headers],0))</f>
        <v>2884136</v>
      </c>
      <c r="G223" s="21">
        <f>INDEX(Data[],MATCH($A223,Data[Dist],0),MATCH(G$6,Data[#Headers],0))</f>
        <v>28893872</v>
      </c>
      <c r="H223" s="21">
        <f>INDEX(Data[],MATCH($A223,Data[Dist],0),MATCH(H$6,Data[#Headers],0))-G223</f>
        <v>0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5768272</v>
      </c>
      <c r="L223" s="21">
        <f>INDEX(Notes!$I$2:$N$11,MATCH(Notes!$B$2,Notes!$I$2:$I$11,0),6)*$E223</f>
        <v>8652408</v>
      </c>
      <c r="M223" s="21">
        <f>IF(Notes!$B$2="June",'Payment Total'!$F223,0)</f>
        <v>2884136</v>
      </c>
      <c r="N223" s="21">
        <f t="shared" si="12"/>
        <v>0</v>
      </c>
      <c r="P223" s="25" t="s">
        <v>1043</v>
      </c>
      <c r="Q223" s="25">
        <v>2884136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544109</v>
      </c>
      <c r="E224" s="21">
        <f>INDEX(Data[],MATCH($A224,Data[Dist],0),MATCH(E$6,Data[#Headers],0))</f>
        <v>544110</v>
      </c>
      <c r="F224" s="21">
        <f>INDEX(Data[],MATCH($A224,Data[Dist],0),MATCH(F$6,Data[#Headers],0))</f>
        <v>544108</v>
      </c>
      <c r="G224" s="21">
        <f>INDEX(Data[],MATCH($A224,Data[Dist],0),MATCH(G$6,Data[#Headers],0))</f>
        <v>5452144</v>
      </c>
      <c r="H224" s="21">
        <f>INDEX(Data[],MATCH($A224,Data[Dist],0),MATCH(H$6,Data[#Headers],0))-G224</f>
        <v>0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1088218</v>
      </c>
      <c r="L224" s="21">
        <f>INDEX(Notes!$I$2:$N$11,MATCH(Notes!$B$2,Notes!$I$2:$I$11,0),6)*$E224</f>
        <v>1632330</v>
      </c>
      <c r="M224" s="21">
        <f>IF(Notes!$B$2="June",'Payment Total'!$F224,0)</f>
        <v>544108</v>
      </c>
      <c r="N224" s="21">
        <f t="shared" si="12"/>
        <v>0</v>
      </c>
      <c r="P224" s="25" t="s">
        <v>1044</v>
      </c>
      <c r="Q224" s="25">
        <v>544108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631668</v>
      </c>
      <c r="E225" s="21">
        <f>INDEX(Data[],MATCH($A225,Data[Dist],0),MATCH(E$6,Data[#Headers],0))</f>
        <v>631669</v>
      </c>
      <c r="F225" s="21">
        <f>INDEX(Data[],MATCH($A225,Data[Dist],0),MATCH(F$6,Data[#Headers],0))</f>
        <v>631667</v>
      </c>
      <c r="G225" s="21">
        <f>INDEX(Data[],MATCH($A225,Data[Dist],0),MATCH(G$6,Data[#Headers],0))</f>
        <v>6330470</v>
      </c>
      <c r="H225" s="21">
        <f>INDEX(Data[],MATCH($A225,Data[Dist],0),MATCH(H$6,Data[#Headers],0))-G225</f>
        <v>0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1263336</v>
      </c>
      <c r="L225" s="21">
        <f>INDEX(Notes!$I$2:$N$11,MATCH(Notes!$B$2,Notes!$I$2:$I$11,0),6)*$E225</f>
        <v>1895007</v>
      </c>
      <c r="M225" s="21">
        <f>IF(Notes!$B$2="June",'Payment Total'!$F225,0)</f>
        <v>631667</v>
      </c>
      <c r="N225" s="21">
        <f t="shared" si="12"/>
        <v>0</v>
      </c>
      <c r="P225" s="25" t="s">
        <v>1045</v>
      </c>
      <c r="Q225" s="25">
        <v>631667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1175479</v>
      </c>
      <c r="E226" s="21">
        <f>INDEX(Data[],MATCH($A226,Data[Dist],0),MATCH(E$6,Data[#Headers],0))</f>
        <v>1175478</v>
      </c>
      <c r="F226" s="21">
        <f>INDEX(Data[],MATCH($A226,Data[Dist],0),MATCH(F$6,Data[#Headers],0))</f>
        <v>1175479</v>
      </c>
      <c r="G226" s="21">
        <f>INDEX(Data[],MATCH($A226,Data[Dist],0),MATCH(G$6,Data[#Headers],0))</f>
        <v>11774091</v>
      </c>
      <c r="H226" s="21">
        <f>INDEX(Data[],MATCH($A226,Data[Dist],0),MATCH(H$6,Data[#Headers],0))-G226</f>
        <v>0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2350958</v>
      </c>
      <c r="L226" s="21">
        <f>INDEX(Notes!$I$2:$N$11,MATCH(Notes!$B$2,Notes!$I$2:$I$11,0),6)*$E226</f>
        <v>3526434</v>
      </c>
      <c r="M226" s="21">
        <f>IF(Notes!$B$2="June",'Payment Total'!$F226,0)</f>
        <v>1175479</v>
      </c>
      <c r="N226" s="21">
        <f t="shared" si="12"/>
        <v>0</v>
      </c>
      <c r="P226" s="25" t="s">
        <v>1046</v>
      </c>
      <c r="Q226" s="25">
        <v>1175479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341996</v>
      </c>
      <c r="E227" s="21">
        <f>INDEX(Data[],MATCH($A227,Data[Dist],0),MATCH(E$6,Data[#Headers],0))</f>
        <v>341997</v>
      </c>
      <c r="F227" s="21">
        <f>INDEX(Data[],MATCH($A227,Data[Dist],0),MATCH(F$6,Data[#Headers],0))</f>
        <v>341995</v>
      </c>
      <c r="G227" s="21">
        <f>INDEX(Data[],MATCH($A227,Data[Dist],0),MATCH(G$6,Data[#Headers],0))</f>
        <v>3428342</v>
      </c>
      <c r="H227" s="21">
        <f>INDEX(Data[],MATCH($A227,Data[Dist],0),MATCH(H$6,Data[#Headers],0))-G227</f>
        <v>0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683992</v>
      </c>
      <c r="L227" s="21">
        <f>INDEX(Notes!$I$2:$N$11,MATCH(Notes!$B$2,Notes!$I$2:$I$11,0),6)*$E227</f>
        <v>1025991</v>
      </c>
      <c r="M227" s="21">
        <f>IF(Notes!$B$2="June",'Payment Total'!$F227,0)</f>
        <v>341995</v>
      </c>
      <c r="N227" s="21">
        <f t="shared" si="12"/>
        <v>0</v>
      </c>
      <c r="P227" s="25" t="s">
        <v>1047</v>
      </c>
      <c r="Q227" s="25">
        <v>341995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75128</v>
      </c>
      <c r="E228" s="21">
        <f>INDEX(Data[],MATCH($A228,Data[Dist],0),MATCH(E$6,Data[#Headers],0))</f>
        <v>75128</v>
      </c>
      <c r="F228" s="21">
        <f>INDEX(Data[],MATCH($A228,Data[Dist],0),MATCH(F$6,Data[#Headers],0))</f>
        <v>75129</v>
      </c>
      <c r="G228" s="21">
        <f>INDEX(Data[],MATCH($A228,Data[Dist],0),MATCH(G$6,Data[#Headers],0))</f>
        <v>766721</v>
      </c>
      <c r="H228" s="21">
        <f>INDEX(Data[],MATCH($A228,Data[Dist],0),MATCH(H$6,Data[#Headers],0))-G228</f>
        <v>0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150256</v>
      </c>
      <c r="L228" s="21">
        <f>INDEX(Notes!$I$2:$N$11,MATCH(Notes!$B$2,Notes!$I$2:$I$11,0),6)*$E228</f>
        <v>225384</v>
      </c>
      <c r="M228" s="21">
        <f>IF(Notes!$B$2="June",'Payment Total'!$F228,0)</f>
        <v>75129</v>
      </c>
      <c r="N228" s="21">
        <f t="shared" si="12"/>
        <v>0</v>
      </c>
      <c r="P228" s="25" t="s">
        <v>1048</v>
      </c>
      <c r="Q228" s="25">
        <v>75129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167069</v>
      </c>
      <c r="E229" s="21">
        <f>INDEX(Data[],MATCH($A229,Data[Dist],0),MATCH(E$6,Data[#Headers],0))</f>
        <v>167070</v>
      </c>
      <c r="F229" s="21">
        <f>INDEX(Data[],MATCH($A229,Data[Dist],0),MATCH(F$6,Data[#Headers],0))</f>
        <v>167068</v>
      </c>
      <c r="G229" s="21">
        <f>INDEX(Data[],MATCH($A229,Data[Dist],0),MATCH(G$6,Data[#Headers],0))</f>
        <v>1673644</v>
      </c>
      <c r="H229" s="21">
        <f>INDEX(Data[],MATCH($A229,Data[Dist],0),MATCH(H$6,Data[#Headers],0))-G229</f>
        <v>0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334138</v>
      </c>
      <c r="L229" s="21">
        <f>INDEX(Notes!$I$2:$N$11,MATCH(Notes!$B$2,Notes!$I$2:$I$11,0),6)*$E229</f>
        <v>501210</v>
      </c>
      <c r="M229" s="21">
        <f>IF(Notes!$B$2="June",'Payment Total'!$F229,0)</f>
        <v>167068</v>
      </c>
      <c r="N229" s="21">
        <f t="shared" si="12"/>
        <v>0</v>
      </c>
      <c r="P229" s="25" t="s">
        <v>1049</v>
      </c>
      <c r="Q229" s="25">
        <v>167068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56153</v>
      </c>
      <c r="E230" s="21">
        <f>INDEX(Data[],MATCH($A230,Data[Dist],0),MATCH(E$6,Data[#Headers],0))</f>
        <v>56152</v>
      </c>
      <c r="F230" s="21">
        <f>INDEX(Data[],MATCH($A230,Data[Dist],0),MATCH(F$6,Data[#Headers],0))</f>
        <v>56153</v>
      </c>
      <c r="G230" s="21">
        <f>INDEX(Data[],MATCH($A230,Data[Dist],0),MATCH(G$6,Data[#Headers],0))</f>
        <v>563611</v>
      </c>
      <c r="H230" s="21">
        <f>INDEX(Data[],MATCH($A230,Data[Dist],0),MATCH(H$6,Data[#Headers],0))-G230</f>
        <v>0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112306</v>
      </c>
      <c r="L230" s="21">
        <f>INDEX(Notes!$I$2:$N$11,MATCH(Notes!$B$2,Notes!$I$2:$I$11,0),6)*$E230</f>
        <v>168456</v>
      </c>
      <c r="M230" s="21">
        <f>IF(Notes!$B$2="June",'Payment Total'!$F230,0)</f>
        <v>56153</v>
      </c>
      <c r="N230" s="21">
        <f t="shared" si="12"/>
        <v>0</v>
      </c>
      <c r="P230" s="25" t="s">
        <v>1050</v>
      </c>
      <c r="Q230" s="25">
        <v>56153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665236</v>
      </c>
      <c r="E231" s="21">
        <f>INDEX(Data[],MATCH($A231,Data[Dist],0),MATCH(E$6,Data[#Headers],0))</f>
        <v>665236</v>
      </c>
      <c r="F231" s="21">
        <f>INDEX(Data[],MATCH($A231,Data[Dist],0),MATCH(F$6,Data[#Headers],0))</f>
        <v>665237</v>
      </c>
      <c r="G231" s="21">
        <f>INDEX(Data[],MATCH($A231,Data[Dist],0),MATCH(G$6,Data[#Headers],0))</f>
        <v>6665717</v>
      </c>
      <c r="H231" s="21">
        <f>INDEX(Data[],MATCH($A231,Data[Dist],0),MATCH(H$6,Data[#Headers],0))-G231</f>
        <v>0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1330472</v>
      </c>
      <c r="L231" s="21">
        <f>INDEX(Notes!$I$2:$N$11,MATCH(Notes!$B$2,Notes!$I$2:$I$11,0),6)*$E231</f>
        <v>1995708</v>
      </c>
      <c r="M231" s="21">
        <f>IF(Notes!$B$2="June",'Payment Total'!$F231,0)</f>
        <v>665237</v>
      </c>
      <c r="N231" s="21">
        <f t="shared" si="12"/>
        <v>0</v>
      </c>
      <c r="P231" s="25" t="s">
        <v>1051</v>
      </c>
      <c r="Q231" s="25">
        <v>665237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1873282</v>
      </c>
      <c r="E232" s="21">
        <f>INDEX(Data[],MATCH($A232,Data[Dist],0),MATCH(E$6,Data[#Headers],0))</f>
        <v>1873282</v>
      </c>
      <c r="F232" s="21">
        <f>INDEX(Data[],MATCH($A232,Data[Dist],0),MATCH(F$6,Data[#Headers],0))</f>
        <v>1873282</v>
      </c>
      <c r="G232" s="21">
        <f>INDEX(Data[],MATCH($A232,Data[Dist],0),MATCH(G$6,Data[#Headers],0))</f>
        <v>18766204</v>
      </c>
      <c r="H232" s="21">
        <f>INDEX(Data[],MATCH($A232,Data[Dist],0),MATCH(H$6,Data[#Headers],0))-G232</f>
        <v>0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3746564</v>
      </c>
      <c r="L232" s="21">
        <f>INDEX(Notes!$I$2:$N$11,MATCH(Notes!$B$2,Notes!$I$2:$I$11,0),6)*$E232</f>
        <v>5619846</v>
      </c>
      <c r="M232" s="21">
        <f>IF(Notes!$B$2="June",'Payment Total'!$F232,0)</f>
        <v>1873282</v>
      </c>
      <c r="N232" s="21">
        <f t="shared" si="12"/>
        <v>0</v>
      </c>
      <c r="P232" s="25" t="s">
        <v>1052</v>
      </c>
      <c r="Q232" s="25">
        <v>1873282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5095919</v>
      </c>
      <c r="E233" s="21">
        <f>INDEX(Data[],MATCH($A233,Data[Dist],0),MATCH(E$6,Data[#Headers],0))</f>
        <v>5095919</v>
      </c>
      <c r="F233" s="21">
        <f>INDEX(Data[],MATCH($A233,Data[Dist],0),MATCH(F$6,Data[#Headers],0))</f>
        <v>5095919</v>
      </c>
      <c r="G233" s="21">
        <f>INDEX(Data[],MATCH($A233,Data[Dist],0),MATCH(G$6,Data[#Headers],0))</f>
        <v>51037090</v>
      </c>
      <c r="H233" s="21">
        <f>INDEX(Data[],MATCH($A233,Data[Dist],0),MATCH(H$6,Data[#Headers],0))-G233</f>
        <v>0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10191838</v>
      </c>
      <c r="L233" s="21">
        <f>INDEX(Notes!$I$2:$N$11,MATCH(Notes!$B$2,Notes!$I$2:$I$11,0),6)*$E233</f>
        <v>15287757</v>
      </c>
      <c r="M233" s="21">
        <f>IF(Notes!$B$2="June",'Payment Total'!$F233,0)</f>
        <v>5095919</v>
      </c>
      <c r="N233" s="21">
        <f t="shared" si="12"/>
        <v>0</v>
      </c>
      <c r="P233" s="25" t="s">
        <v>1053</v>
      </c>
      <c r="Q233" s="25">
        <v>5095919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379259</v>
      </c>
      <c r="E234" s="21">
        <f>INDEX(Data[],MATCH($A234,Data[Dist],0),MATCH(E$6,Data[#Headers],0))</f>
        <v>379259</v>
      </c>
      <c r="F234" s="21">
        <f>INDEX(Data[],MATCH($A234,Data[Dist],0),MATCH(F$6,Data[#Headers],0))</f>
        <v>379260</v>
      </c>
      <c r="G234" s="21">
        <f>INDEX(Data[],MATCH($A234,Data[Dist],0),MATCH(G$6,Data[#Headers],0))</f>
        <v>3802371</v>
      </c>
      <c r="H234" s="21">
        <f>INDEX(Data[],MATCH($A234,Data[Dist],0),MATCH(H$6,Data[#Headers],0))-G234</f>
        <v>0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758518</v>
      </c>
      <c r="L234" s="21">
        <f>INDEX(Notes!$I$2:$N$11,MATCH(Notes!$B$2,Notes!$I$2:$I$11,0),6)*$E234</f>
        <v>1137777</v>
      </c>
      <c r="M234" s="21">
        <f>IF(Notes!$B$2="June",'Payment Total'!$F234,0)</f>
        <v>379260</v>
      </c>
      <c r="N234" s="21">
        <f t="shared" si="12"/>
        <v>0</v>
      </c>
      <c r="P234" s="25" t="s">
        <v>1054</v>
      </c>
      <c r="Q234" s="25">
        <v>379260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124839</v>
      </c>
      <c r="E235" s="21">
        <f>INDEX(Data[],MATCH($A235,Data[Dist],0),MATCH(E$6,Data[#Headers],0))</f>
        <v>124839</v>
      </c>
      <c r="F235" s="21">
        <f>INDEX(Data[],MATCH($A235,Data[Dist],0),MATCH(F$6,Data[#Headers],0))</f>
        <v>124839</v>
      </c>
      <c r="G235" s="21">
        <f>INDEX(Data[],MATCH($A235,Data[Dist],0),MATCH(G$6,Data[#Headers],0))</f>
        <v>1251250</v>
      </c>
      <c r="H235" s="21">
        <f>INDEX(Data[],MATCH($A235,Data[Dist],0),MATCH(H$6,Data[#Headers],0))-G235</f>
        <v>0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249678</v>
      </c>
      <c r="L235" s="21">
        <f>INDEX(Notes!$I$2:$N$11,MATCH(Notes!$B$2,Notes!$I$2:$I$11,0),6)*$E235</f>
        <v>374517</v>
      </c>
      <c r="M235" s="21">
        <f>IF(Notes!$B$2="June",'Payment Total'!$F235,0)</f>
        <v>124839</v>
      </c>
      <c r="N235" s="21">
        <f t="shared" si="12"/>
        <v>0</v>
      </c>
      <c r="P235" s="25" t="s">
        <v>1055</v>
      </c>
      <c r="Q235" s="25">
        <v>124839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220912</v>
      </c>
      <c r="E236" s="21">
        <f>INDEX(Data[],MATCH($A236,Data[Dist],0),MATCH(E$6,Data[#Headers],0))</f>
        <v>220912</v>
      </c>
      <c r="F236" s="21">
        <f>INDEX(Data[],MATCH($A236,Data[Dist],0),MATCH(F$6,Data[#Headers],0))</f>
        <v>220913</v>
      </c>
      <c r="G236" s="21">
        <f>INDEX(Data[],MATCH($A236,Data[Dist],0),MATCH(G$6,Data[#Headers],0))</f>
        <v>2217873</v>
      </c>
      <c r="H236" s="21">
        <f>INDEX(Data[],MATCH($A236,Data[Dist],0),MATCH(H$6,Data[#Headers],0))-G236</f>
        <v>0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441824</v>
      </c>
      <c r="L236" s="21">
        <f>INDEX(Notes!$I$2:$N$11,MATCH(Notes!$B$2,Notes!$I$2:$I$11,0),6)*$E236</f>
        <v>662736</v>
      </c>
      <c r="M236" s="21">
        <f>IF(Notes!$B$2="June",'Payment Total'!$F236,0)</f>
        <v>220913</v>
      </c>
      <c r="N236" s="21">
        <f t="shared" si="12"/>
        <v>0</v>
      </c>
      <c r="P236" s="25" t="s">
        <v>1056</v>
      </c>
      <c r="Q236" s="25">
        <v>220913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359673</v>
      </c>
      <c r="E237" s="21">
        <f>INDEX(Data[],MATCH($A237,Data[Dist],0),MATCH(E$6,Data[#Headers],0))</f>
        <v>359673</v>
      </c>
      <c r="F237" s="21">
        <f>INDEX(Data[],MATCH($A237,Data[Dist],0),MATCH(F$6,Data[#Headers],0))</f>
        <v>359674</v>
      </c>
      <c r="G237" s="21">
        <f>INDEX(Data[],MATCH($A237,Data[Dist],0),MATCH(G$6,Data[#Headers],0))</f>
        <v>3604743</v>
      </c>
      <c r="H237" s="21">
        <f>INDEX(Data[],MATCH($A237,Data[Dist],0),MATCH(H$6,Data[#Headers],0))-G237</f>
        <v>0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719346</v>
      </c>
      <c r="L237" s="21">
        <f>INDEX(Notes!$I$2:$N$11,MATCH(Notes!$B$2,Notes!$I$2:$I$11,0),6)*$E237</f>
        <v>1079019</v>
      </c>
      <c r="M237" s="21">
        <f>IF(Notes!$B$2="June",'Payment Total'!$F237,0)</f>
        <v>359674</v>
      </c>
      <c r="N237" s="21">
        <f t="shared" si="12"/>
        <v>0</v>
      </c>
      <c r="P237" s="25" t="s">
        <v>1057</v>
      </c>
      <c r="Q237" s="25">
        <v>359674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1610976</v>
      </c>
      <c r="E238" s="21">
        <f>INDEX(Data[],MATCH($A238,Data[Dist],0),MATCH(E$6,Data[#Headers],0))</f>
        <v>1610976</v>
      </c>
      <c r="F238" s="21">
        <f>INDEX(Data[],MATCH($A238,Data[Dist],0),MATCH(F$6,Data[#Headers],0))</f>
        <v>1610975</v>
      </c>
      <c r="G238" s="21">
        <f>INDEX(Data[],MATCH($A238,Data[Dist],0),MATCH(G$6,Data[#Headers],0))</f>
        <v>16142227</v>
      </c>
      <c r="H238" s="21">
        <f>INDEX(Data[],MATCH($A238,Data[Dist],0),MATCH(H$6,Data[#Headers],0))-G238</f>
        <v>0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3221952</v>
      </c>
      <c r="L238" s="21">
        <f>INDEX(Notes!$I$2:$N$11,MATCH(Notes!$B$2,Notes!$I$2:$I$11,0),6)*$E238</f>
        <v>4832928</v>
      </c>
      <c r="M238" s="21">
        <f>IF(Notes!$B$2="June",'Payment Total'!$F238,0)</f>
        <v>1610975</v>
      </c>
      <c r="N238" s="21">
        <f t="shared" si="12"/>
        <v>0</v>
      </c>
      <c r="P238" s="25" t="s">
        <v>1058</v>
      </c>
      <c r="Q238" s="25">
        <v>1610975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1741124</v>
      </c>
      <c r="E239" s="21">
        <f>INDEX(Data[],MATCH($A239,Data[Dist],0),MATCH(E$6,Data[#Headers],0))</f>
        <v>1741125</v>
      </c>
      <c r="F239" s="21">
        <f>INDEX(Data[],MATCH($A239,Data[Dist],0),MATCH(F$6,Data[#Headers],0))</f>
        <v>1741123</v>
      </c>
      <c r="G239" s="21">
        <f>INDEX(Data[],MATCH($A239,Data[Dist],0),MATCH(G$6,Data[#Headers],0))</f>
        <v>17438750</v>
      </c>
      <c r="H239" s="21">
        <f>INDEX(Data[],MATCH($A239,Data[Dist],0),MATCH(H$6,Data[#Headers],0))-G239</f>
        <v>0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3482248</v>
      </c>
      <c r="L239" s="21">
        <f>INDEX(Notes!$I$2:$N$11,MATCH(Notes!$B$2,Notes!$I$2:$I$11,0),6)*$E239</f>
        <v>5223375</v>
      </c>
      <c r="M239" s="21">
        <f>IF(Notes!$B$2="June",'Payment Total'!$F239,0)</f>
        <v>1741123</v>
      </c>
      <c r="N239" s="21">
        <f t="shared" si="12"/>
        <v>0</v>
      </c>
      <c r="P239" s="25" t="s">
        <v>1059</v>
      </c>
      <c r="Q239" s="25">
        <v>1741123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4101953</v>
      </c>
      <c r="E240" s="21">
        <f>INDEX(Data[],MATCH($A240,Data[Dist],0),MATCH(E$6,Data[#Headers],0))</f>
        <v>4101954</v>
      </c>
      <c r="F240" s="21">
        <f>INDEX(Data[],MATCH($A240,Data[Dist],0),MATCH(F$6,Data[#Headers],0))</f>
        <v>4101952</v>
      </c>
      <c r="G240" s="21">
        <f>INDEX(Data[],MATCH($A240,Data[Dist],0),MATCH(G$6,Data[#Headers],0))</f>
        <v>41103104</v>
      </c>
      <c r="H240" s="21">
        <f>INDEX(Data[],MATCH($A240,Data[Dist],0),MATCH(H$6,Data[#Headers],0))-G240</f>
        <v>0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8203906</v>
      </c>
      <c r="L240" s="21">
        <f>INDEX(Notes!$I$2:$N$11,MATCH(Notes!$B$2,Notes!$I$2:$I$11,0),6)*$E240</f>
        <v>12305862</v>
      </c>
      <c r="M240" s="21">
        <f>IF(Notes!$B$2="June",'Payment Total'!$F240,0)</f>
        <v>4101952</v>
      </c>
      <c r="N240" s="21">
        <f t="shared" si="12"/>
        <v>0</v>
      </c>
      <c r="P240" s="25" t="s">
        <v>1060</v>
      </c>
      <c r="Q240" s="25">
        <v>4101952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626023</v>
      </c>
      <c r="E241" s="21">
        <f>INDEX(Data[],MATCH($A241,Data[Dist],0),MATCH(E$6,Data[#Headers],0))</f>
        <v>626023</v>
      </c>
      <c r="F241" s="21">
        <f>INDEX(Data[],MATCH($A241,Data[Dist],0),MATCH(F$6,Data[#Headers],0))</f>
        <v>626022</v>
      </c>
      <c r="G241" s="21">
        <f>INDEX(Data[],MATCH($A241,Data[Dist],0),MATCH(G$6,Data[#Headers],0))</f>
        <v>6270865</v>
      </c>
      <c r="H241" s="21">
        <f>INDEX(Data[],MATCH($A241,Data[Dist],0),MATCH(H$6,Data[#Headers],0))-G241</f>
        <v>0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1252046</v>
      </c>
      <c r="L241" s="21">
        <f>INDEX(Notes!$I$2:$N$11,MATCH(Notes!$B$2,Notes!$I$2:$I$11,0),6)*$E241</f>
        <v>1878069</v>
      </c>
      <c r="M241" s="21">
        <f>IF(Notes!$B$2="June",'Payment Total'!$F241,0)</f>
        <v>626022</v>
      </c>
      <c r="N241" s="21">
        <f t="shared" si="12"/>
        <v>0</v>
      </c>
      <c r="P241" s="25" t="s">
        <v>1061</v>
      </c>
      <c r="Q241" s="25">
        <v>626022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294425</v>
      </c>
      <c r="E242" s="21">
        <f>INDEX(Data[],MATCH($A242,Data[Dist],0),MATCH(E$6,Data[#Headers],0))</f>
        <v>294424</v>
      </c>
      <c r="F242" s="21">
        <f>INDEX(Data[],MATCH($A242,Data[Dist],0),MATCH(F$6,Data[#Headers],0))</f>
        <v>294425</v>
      </c>
      <c r="G242" s="21">
        <f>INDEX(Data[],MATCH($A242,Data[Dist],0),MATCH(G$6,Data[#Headers],0))</f>
        <v>2954275</v>
      </c>
      <c r="H242" s="21">
        <f>INDEX(Data[],MATCH($A242,Data[Dist],0),MATCH(H$6,Data[#Headers],0))-G242</f>
        <v>0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588850</v>
      </c>
      <c r="L242" s="21">
        <f>INDEX(Notes!$I$2:$N$11,MATCH(Notes!$B$2,Notes!$I$2:$I$11,0),6)*$E242</f>
        <v>883272</v>
      </c>
      <c r="M242" s="21">
        <f>IF(Notes!$B$2="June",'Payment Total'!$F242,0)</f>
        <v>294425</v>
      </c>
      <c r="N242" s="21">
        <f t="shared" si="12"/>
        <v>0</v>
      </c>
      <c r="P242" s="25" t="s">
        <v>1062</v>
      </c>
      <c r="Q242" s="25">
        <v>294425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718698</v>
      </c>
      <c r="E243" s="21">
        <f>INDEX(Data[],MATCH($A243,Data[Dist],0),MATCH(E$6,Data[#Headers],0))</f>
        <v>718698</v>
      </c>
      <c r="F243" s="21">
        <f>INDEX(Data[],MATCH($A243,Data[Dist],0),MATCH(F$6,Data[#Headers],0))</f>
        <v>718698</v>
      </c>
      <c r="G243" s="21">
        <f>INDEX(Data[],MATCH($A243,Data[Dist],0),MATCH(G$6,Data[#Headers],0))</f>
        <v>7198204</v>
      </c>
      <c r="H243" s="21">
        <f>INDEX(Data[],MATCH($A243,Data[Dist],0),MATCH(H$6,Data[#Headers],0))-G243</f>
        <v>0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1437396</v>
      </c>
      <c r="L243" s="21">
        <f>INDEX(Notes!$I$2:$N$11,MATCH(Notes!$B$2,Notes!$I$2:$I$11,0),6)*$E243</f>
        <v>2156094</v>
      </c>
      <c r="M243" s="21">
        <f>IF(Notes!$B$2="June",'Payment Total'!$F243,0)</f>
        <v>718698</v>
      </c>
      <c r="N243" s="21">
        <f t="shared" si="12"/>
        <v>0</v>
      </c>
      <c r="P243" s="25" t="s">
        <v>1063</v>
      </c>
      <c r="Q243" s="25">
        <v>718698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788875</v>
      </c>
      <c r="E244" s="21">
        <f>INDEX(Data[],MATCH($A244,Data[Dist],0),MATCH(E$6,Data[#Headers],0))</f>
        <v>788875</v>
      </c>
      <c r="F244" s="21">
        <f>INDEX(Data[],MATCH($A244,Data[Dist],0),MATCH(F$6,Data[#Headers],0))</f>
        <v>788874</v>
      </c>
      <c r="G244" s="21">
        <f>INDEX(Data[],MATCH($A244,Data[Dist],0),MATCH(G$6,Data[#Headers],0))</f>
        <v>7903797</v>
      </c>
      <c r="H244" s="21">
        <f>INDEX(Data[],MATCH($A244,Data[Dist],0),MATCH(H$6,Data[#Headers],0))-G244</f>
        <v>0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1577750</v>
      </c>
      <c r="L244" s="21">
        <f>INDEX(Notes!$I$2:$N$11,MATCH(Notes!$B$2,Notes!$I$2:$I$11,0),6)*$E244</f>
        <v>2366625</v>
      </c>
      <c r="M244" s="21">
        <f>IF(Notes!$B$2="June",'Payment Total'!$F244,0)</f>
        <v>788874</v>
      </c>
      <c r="N244" s="21">
        <f t="shared" si="12"/>
        <v>0</v>
      </c>
      <c r="P244" s="25" t="s">
        <v>1064</v>
      </c>
      <c r="Q244" s="25">
        <v>788874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767145</v>
      </c>
      <c r="E245" s="21">
        <f>INDEX(Data[],MATCH($A245,Data[Dist],0),MATCH(E$6,Data[#Headers],0))</f>
        <v>767145</v>
      </c>
      <c r="F245" s="21">
        <f>INDEX(Data[],MATCH($A245,Data[Dist],0),MATCH(F$6,Data[#Headers],0))</f>
        <v>767144</v>
      </c>
      <c r="G245" s="21">
        <f>INDEX(Data[],MATCH($A245,Data[Dist],0),MATCH(G$6,Data[#Headers],0))</f>
        <v>7686237</v>
      </c>
      <c r="H245" s="21">
        <f>INDEX(Data[],MATCH($A245,Data[Dist],0),MATCH(H$6,Data[#Headers],0))-G245</f>
        <v>0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1534290</v>
      </c>
      <c r="L245" s="21">
        <f>INDEX(Notes!$I$2:$N$11,MATCH(Notes!$B$2,Notes!$I$2:$I$11,0),6)*$E245</f>
        <v>2301435</v>
      </c>
      <c r="M245" s="21">
        <f>IF(Notes!$B$2="June",'Payment Total'!$F245,0)</f>
        <v>767144</v>
      </c>
      <c r="N245" s="21">
        <f t="shared" si="12"/>
        <v>0</v>
      </c>
      <c r="P245" s="25" t="s">
        <v>1065</v>
      </c>
      <c r="Q245" s="25">
        <v>767144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206247</v>
      </c>
      <c r="E246" s="21">
        <f>INDEX(Data[],MATCH($A246,Data[Dist],0),MATCH(E$6,Data[#Headers],0))</f>
        <v>206247</v>
      </c>
      <c r="F246" s="21">
        <f>INDEX(Data[],MATCH($A246,Data[Dist],0),MATCH(F$6,Data[#Headers],0))</f>
        <v>206248</v>
      </c>
      <c r="G246" s="21">
        <f>INDEX(Data[],MATCH($A246,Data[Dist],0),MATCH(G$6,Data[#Headers],0))</f>
        <v>2067507</v>
      </c>
      <c r="H246" s="21">
        <f>INDEX(Data[],MATCH($A246,Data[Dist],0),MATCH(H$6,Data[#Headers],0))-G246</f>
        <v>0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412494</v>
      </c>
      <c r="L246" s="21">
        <f>INDEX(Notes!$I$2:$N$11,MATCH(Notes!$B$2,Notes!$I$2:$I$11,0),6)*$E246</f>
        <v>618741</v>
      </c>
      <c r="M246" s="21">
        <f>IF(Notes!$B$2="June",'Payment Total'!$F246,0)</f>
        <v>206248</v>
      </c>
      <c r="N246" s="21">
        <f t="shared" si="12"/>
        <v>0</v>
      </c>
      <c r="P246" s="25" t="s">
        <v>1066</v>
      </c>
      <c r="Q246" s="25">
        <v>206248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237574</v>
      </c>
      <c r="E247" s="21">
        <f>INDEX(Data[],MATCH($A247,Data[Dist],0),MATCH(E$6,Data[#Headers],0))</f>
        <v>237574</v>
      </c>
      <c r="F247" s="21">
        <f>INDEX(Data[],MATCH($A247,Data[Dist],0),MATCH(F$6,Data[#Headers],0))</f>
        <v>237572</v>
      </c>
      <c r="G247" s="21">
        <f>INDEX(Data[],MATCH($A247,Data[Dist],0),MATCH(G$6,Data[#Headers],0))</f>
        <v>2381118</v>
      </c>
      <c r="H247" s="21">
        <f>INDEX(Data[],MATCH($A247,Data[Dist],0),MATCH(H$6,Data[#Headers],0))-G247</f>
        <v>0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475148</v>
      </c>
      <c r="L247" s="21">
        <f>INDEX(Notes!$I$2:$N$11,MATCH(Notes!$B$2,Notes!$I$2:$I$11,0),6)*$E247</f>
        <v>712722</v>
      </c>
      <c r="M247" s="21">
        <f>IF(Notes!$B$2="June",'Payment Total'!$F247,0)</f>
        <v>237572</v>
      </c>
      <c r="N247" s="21">
        <f t="shared" si="12"/>
        <v>0</v>
      </c>
      <c r="P247" s="25" t="s">
        <v>1067</v>
      </c>
      <c r="Q247" s="25">
        <v>237572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655448</v>
      </c>
      <c r="E248" s="21">
        <f>INDEX(Data[],MATCH($A248,Data[Dist],0),MATCH(E$6,Data[#Headers],0))</f>
        <v>655448</v>
      </c>
      <c r="F248" s="21">
        <f>INDEX(Data[],MATCH($A248,Data[Dist],0),MATCH(F$6,Data[#Headers],0))</f>
        <v>655446</v>
      </c>
      <c r="G248" s="21">
        <f>INDEX(Data[],MATCH($A248,Data[Dist],0),MATCH(G$6,Data[#Headers],0))</f>
        <v>6566466</v>
      </c>
      <c r="H248" s="21">
        <f>INDEX(Data[],MATCH($A248,Data[Dist],0),MATCH(H$6,Data[#Headers],0))-G248</f>
        <v>0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1310896</v>
      </c>
      <c r="L248" s="21">
        <f>INDEX(Notes!$I$2:$N$11,MATCH(Notes!$B$2,Notes!$I$2:$I$11,0),6)*$E248</f>
        <v>1966344</v>
      </c>
      <c r="M248" s="21">
        <f>IF(Notes!$B$2="June",'Payment Total'!$F248,0)</f>
        <v>655446</v>
      </c>
      <c r="N248" s="21">
        <f t="shared" si="12"/>
        <v>0</v>
      </c>
      <c r="P248" s="25" t="s">
        <v>1068</v>
      </c>
      <c r="Q248" s="25">
        <v>655446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789668</v>
      </c>
      <c r="E249" s="21">
        <f>INDEX(Data[],MATCH($A249,Data[Dist],0),MATCH(E$6,Data[#Headers],0))</f>
        <v>789668</v>
      </c>
      <c r="F249" s="21">
        <f>INDEX(Data[],MATCH($A249,Data[Dist],0),MATCH(F$6,Data[#Headers],0))</f>
        <v>789667</v>
      </c>
      <c r="G249" s="21">
        <f>INDEX(Data[],MATCH($A249,Data[Dist],0),MATCH(G$6,Data[#Headers],0))</f>
        <v>7911995</v>
      </c>
      <c r="H249" s="21">
        <f>INDEX(Data[],MATCH($A249,Data[Dist],0),MATCH(H$6,Data[#Headers],0))-G249</f>
        <v>0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1579336</v>
      </c>
      <c r="L249" s="21">
        <f>INDEX(Notes!$I$2:$N$11,MATCH(Notes!$B$2,Notes!$I$2:$I$11,0),6)*$E249</f>
        <v>2369004</v>
      </c>
      <c r="M249" s="21">
        <f>IF(Notes!$B$2="June",'Payment Total'!$F249,0)</f>
        <v>789667</v>
      </c>
      <c r="N249" s="21">
        <f t="shared" si="12"/>
        <v>0</v>
      </c>
      <c r="P249" s="25" t="s">
        <v>1069</v>
      </c>
      <c r="Q249" s="25">
        <v>789667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317409</v>
      </c>
      <c r="E250" s="21">
        <f>INDEX(Data[],MATCH($A250,Data[Dist],0),MATCH(E$6,Data[#Headers],0))</f>
        <v>317409</v>
      </c>
      <c r="F250" s="21">
        <f>INDEX(Data[],MATCH($A250,Data[Dist],0),MATCH(F$6,Data[#Headers],0))</f>
        <v>317407</v>
      </c>
      <c r="G250" s="21">
        <f>INDEX(Data[],MATCH($A250,Data[Dist],0),MATCH(G$6,Data[#Headers],0))</f>
        <v>3180212</v>
      </c>
      <c r="H250" s="21">
        <f>INDEX(Data[],MATCH($A250,Data[Dist],0),MATCH(H$6,Data[#Headers],0))-G250</f>
        <v>0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634818</v>
      </c>
      <c r="L250" s="21">
        <f>INDEX(Notes!$I$2:$N$11,MATCH(Notes!$B$2,Notes!$I$2:$I$11,0),6)*$E250</f>
        <v>952227</v>
      </c>
      <c r="M250" s="21">
        <f>IF(Notes!$B$2="June",'Payment Total'!$F250,0)</f>
        <v>317407</v>
      </c>
      <c r="N250" s="21">
        <f t="shared" si="12"/>
        <v>0</v>
      </c>
      <c r="P250" s="25" t="s">
        <v>1070</v>
      </c>
      <c r="Q250" s="25">
        <v>317407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145039</v>
      </c>
      <c r="E251" s="21">
        <f>INDEX(Data[],MATCH($A251,Data[Dist],0),MATCH(E$6,Data[#Headers],0))</f>
        <v>145040</v>
      </c>
      <c r="F251" s="21">
        <f>INDEX(Data[],MATCH($A251,Data[Dist],0),MATCH(F$6,Data[#Headers],0))</f>
        <v>145038</v>
      </c>
      <c r="G251" s="21">
        <f>INDEX(Data[],MATCH($A251,Data[Dist],0),MATCH(G$6,Data[#Headers],0))</f>
        <v>1453204</v>
      </c>
      <c r="H251" s="21">
        <f>INDEX(Data[],MATCH($A251,Data[Dist],0),MATCH(H$6,Data[#Headers],0))-G251</f>
        <v>0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290078</v>
      </c>
      <c r="L251" s="21">
        <f>INDEX(Notes!$I$2:$N$11,MATCH(Notes!$B$2,Notes!$I$2:$I$11,0),6)*$E251</f>
        <v>435120</v>
      </c>
      <c r="M251" s="21">
        <f>IF(Notes!$B$2="June",'Payment Total'!$F251,0)</f>
        <v>145038</v>
      </c>
      <c r="N251" s="21">
        <f t="shared" si="12"/>
        <v>0</v>
      </c>
      <c r="P251" s="25" t="s">
        <v>1071</v>
      </c>
      <c r="Q251" s="25">
        <v>145038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401310</v>
      </c>
      <c r="E252" s="21">
        <f>INDEX(Data[],MATCH($A252,Data[Dist],0),MATCH(E$6,Data[#Headers],0))</f>
        <v>401310</v>
      </c>
      <c r="F252" s="21">
        <f>INDEX(Data[],MATCH($A252,Data[Dist],0),MATCH(F$6,Data[#Headers],0))</f>
        <v>401311</v>
      </c>
      <c r="G252" s="21">
        <f>INDEX(Data[],MATCH($A252,Data[Dist],0),MATCH(G$6,Data[#Headers],0))</f>
        <v>4022409</v>
      </c>
      <c r="H252" s="21">
        <f>INDEX(Data[],MATCH($A252,Data[Dist],0),MATCH(H$6,Data[#Headers],0))-G252</f>
        <v>0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802620</v>
      </c>
      <c r="L252" s="21">
        <f>INDEX(Notes!$I$2:$N$11,MATCH(Notes!$B$2,Notes!$I$2:$I$11,0),6)*$E252</f>
        <v>1203930</v>
      </c>
      <c r="M252" s="21">
        <f>IF(Notes!$B$2="June",'Payment Total'!$F252,0)</f>
        <v>401311</v>
      </c>
      <c r="N252" s="21">
        <f t="shared" si="12"/>
        <v>0</v>
      </c>
      <c r="P252" s="25" t="s">
        <v>1072</v>
      </c>
      <c r="Q252" s="25">
        <v>401311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192959</v>
      </c>
      <c r="E253" s="21">
        <f>INDEX(Data[],MATCH($A253,Data[Dist],0),MATCH(E$6,Data[#Headers],0))</f>
        <v>192958</v>
      </c>
      <c r="F253" s="21">
        <f>INDEX(Data[],MATCH($A253,Data[Dist],0),MATCH(F$6,Data[#Headers],0))</f>
        <v>192959</v>
      </c>
      <c r="G253" s="21">
        <f>INDEX(Data[],MATCH($A253,Data[Dist],0),MATCH(G$6,Data[#Headers],0))</f>
        <v>1945039</v>
      </c>
      <c r="H253" s="21">
        <f>INDEX(Data[],MATCH($A253,Data[Dist],0),MATCH(H$6,Data[#Headers],0))-G253</f>
        <v>0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385918</v>
      </c>
      <c r="L253" s="21">
        <f>INDEX(Notes!$I$2:$N$11,MATCH(Notes!$B$2,Notes!$I$2:$I$11,0),6)*$E253</f>
        <v>578874</v>
      </c>
      <c r="M253" s="21">
        <f>IF(Notes!$B$2="June",'Payment Total'!$F253,0)</f>
        <v>192959</v>
      </c>
      <c r="N253" s="21">
        <f t="shared" si="12"/>
        <v>0</v>
      </c>
      <c r="P253" s="25" t="s">
        <v>1073</v>
      </c>
      <c r="Q253" s="25">
        <v>192959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236436</v>
      </c>
      <c r="E254" s="21">
        <f>INDEX(Data[],MATCH($A254,Data[Dist],0),MATCH(E$6,Data[#Headers],0))</f>
        <v>236435</v>
      </c>
      <c r="F254" s="21">
        <f>INDEX(Data[],MATCH($A254,Data[Dist],0),MATCH(F$6,Data[#Headers],0))</f>
        <v>236436</v>
      </c>
      <c r="G254" s="21">
        <f>INDEX(Data[],MATCH($A254,Data[Dist],0),MATCH(G$6,Data[#Headers],0))</f>
        <v>2369689</v>
      </c>
      <c r="H254" s="21">
        <f>INDEX(Data[],MATCH($A254,Data[Dist],0),MATCH(H$6,Data[#Headers],0))-G254</f>
        <v>0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472872</v>
      </c>
      <c r="L254" s="21">
        <f>INDEX(Notes!$I$2:$N$11,MATCH(Notes!$B$2,Notes!$I$2:$I$11,0),6)*$E254</f>
        <v>709305</v>
      </c>
      <c r="M254" s="21">
        <f>IF(Notes!$B$2="June",'Payment Total'!$F254,0)</f>
        <v>236436</v>
      </c>
      <c r="N254" s="21">
        <f t="shared" si="12"/>
        <v>0</v>
      </c>
      <c r="P254" s="25" t="s">
        <v>1074</v>
      </c>
      <c r="Q254" s="25">
        <v>236436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142579</v>
      </c>
      <c r="E255" s="21">
        <f>INDEX(Data[],MATCH($A255,Data[Dist],0),MATCH(E$6,Data[#Headers],0))</f>
        <v>142579</v>
      </c>
      <c r="F255" s="21">
        <f>INDEX(Data[],MATCH($A255,Data[Dist],0),MATCH(F$6,Data[#Headers],0))</f>
        <v>142579</v>
      </c>
      <c r="G255" s="21">
        <f>INDEX(Data[],MATCH($A255,Data[Dist],0),MATCH(G$6,Data[#Headers],0))</f>
        <v>1429306</v>
      </c>
      <c r="H255" s="21">
        <f>INDEX(Data[],MATCH($A255,Data[Dist],0),MATCH(H$6,Data[#Headers],0))-G255</f>
        <v>0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285158</v>
      </c>
      <c r="L255" s="21">
        <f>INDEX(Notes!$I$2:$N$11,MATCH(Notes!$B$2,Notes!$I$2:$I$11,0),6)*$E255</f>
        <v>427737</v>
      </c>
      <c r="M255" s="21">
        <f>IF(Notes!$B$2="June",'Payment Total'!$F255,0)</f>
        <v>142579</v>
      </c>
      <c r="N255" s="21">
        <f t="shared" si="12"/>
        <v>0</v>
      </c>
      <c r="P255" s="25" t="s">
        <v>1075</v>
      </c>
      <c r="Q255" s="25">
        <v>142579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895704</v>
      </c>
      <c r="E256" s="21">
        <f>INDEX(Data[],MATCH($A256,Data[Dist],0),MATCH(E$6,Data[#Headers],0))</f>
        <v>895704</v>
      </c>
      <c r="F256" s="21">
        <f>INDEX(Data[],MATCH($A256,Data[Dist],0),MATCH(F$6,Data[#Headers],0))</f>
        <v>895705</v>
      </c>
      <c r="G256" s="21">
        <f>INDEX(Data[],MATCH($A256,Data[Dist],0),MATCH(G$6,Data[#Headers],0))</f>
        <v>8978633</v>
      </c>
      <c r="H256" s="21">
        <f>INDEX(Data[],MATCH($A256,Data[Dist],0),MATCH(H$6,Data[#Headers],0))-G256</f>
        <v>0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1791408</v>
      </c>
      <c r="L256" s="21">
        <f>INDEX(Notes!$I$2:$N$11,MATCH(Notes!$B$2,Notes!$I$2:$I$11,0),6)*$E256</f>
        <v>2687112</v>
      </c>
      <c r="M256" s="21">
        <f>IF(Notes!$B$2="June",'Payment Total'!$F256,0)</f>
        <v>895705</v>
      </c>
      <c r="N256" s="21">
        <f t="shared" si="12"/>
        <v>0</v>
      </c>
      <c r="P256" s="25" t="s">
        <v>1076</v>
      </c>
      <c r="Q256" s="25">
        <v>895705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189307</v>
      </c>
      <c r="E257" s="21">
        <f>INDEX(Data[],MATCH($A257,Data[Dist],0),MATCH(E$6,Data[#Headers],0))</f>
        <v>189307</v>
      </c>
      <c r="F257" s="21">
        <f>INDEX(Data[],MATCH($A257,Data[Dist],0),MATCH(F$6,Data[#Headers],0))</f>
        <v>189305</v>
      </c>
      <c r="G257" s="21">
        <f>INDEX(Data[],MATCH($A257,Data[Dist],0),MATCH(G$6,Data[#Headers],0))</f>
        <v>1896440</v>
      </c>
      <c r="H257" s="21">
        <f>INDEX(Data[],MATCH($A257,Data[Dist],0),MATCH(H$6,Data[#Headers],0))-G257</f>
        <v>0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378614</v>
      </c>
      <c r="L257" s="21">
        <f>INDEX(Notes!$I$2:$N$11,MATCH(Notes!$B$2,Notes!$I$2:$I$11,0),6)*$E257</f>
        <v>567921</v>
      </c>
      <c r="M257" s="21">
        <f>IF(Notes!$B$2="June",'Payment Total'!$F257,0)</f>
        <v>189305</v>
      </c>
      <c r="N257" s="21">
        <f t="shared" si="12"/>
        <v>0</v>
      </c>
      <c r="P257" s="25" t="s">
        <v>1077</v>
      </c>
      <c r="Q257" s="25">
        <v>189305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520780</v>
      </c>
      <c r="E258" s="21">
        <f>INDEX(Data[],MATCH($A258,Data[Dist],0),MATCH(E$6,Data[#Headers],0))</f>
        <v>520781</v>
      </c>
      <c r="F258" s="21">
        <f>INDEX(Data[],MATCH($A258,Data[Dist],0),MATCH(F$6,Data[#Headers],0))</f>
        <v>520779</v>
      </c>
      <c r="G258" s="21">
        <f>INDEX(Data[],MATCH($A258,Data[Dist],0),MATCH(G$6,Data[#Headers],0))</f>
        <v>5219186</v>
      </c>
      <c r="H258" s="21">
        <f>INDEX(Data[],MATCH($A258,Data[Dist],0),MATCH(H$6,Data[#Headers],0))-G258</f>
        <v>0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1041560</v>
      </c>
      <c r="L258" s="21">
        <f>INDEX(Notes!$I$2:$N$11,MATCH(Notes!$B$2,Notes!$I$2:$I$11,0),6)*$E258</f>
        <v>1562343</v>
      </c>
      <c r="M258" s="21">
        <f>IF(Notes!$B$2="June",'Payment Total'!$F258,0)</f>
        <v>520779</v>
      </c>
      <c r="N258" s="21">
        <f t="shared" si="12"/>
        <v>0</v>
      </c>
      <c r="P258" s="25" t="s">
        <v>1078</v>
      </c>
      <c r="Q258" s="25">
        <v>520779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975780</v>
      </c>
      <c r="E259" s="21">
        <f>INDEX(Data[],MATCH($A259,Data[Dist],0),MATCH(E$6,Data[#Headers],0))</f>
        <v>975780</v>
      </c>
      <c r="F259" s="21">
        <f>INDEX(Data[],MATCH($A259,Data[Dist],0),MATCH(F$6,Data[#Headers],0))</f>
        <v>975780</v>
      </c>
      <c r="G259" s="21">
        <f>INDEX(Data[],MATCH($A259,Data[Dist],0),MATCH(G$6,Data[#Headers],0))</f>
        <v>9775152</v>
      </c>
      <c r="H259" s="21">
        <f>INDEX(Data[],MATCH($A259,Data[Dist],0),MATCH(H$6,Data[#Headers],0))-G259</f>
        <v>0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1951560</v>
      </c>
      <c r="L259" s="21">
        <f>INDEX(Notes!$I$2:$N$11,MATCH(Notes!$B$2,Notes!$I$2:$I$11,0),6)*$E259</f>
        <v>2927340</v>
      </c>
      <c r="M259" s="21">
        <f>IF(Notes!$B$2="June",'Payment Total'!$F259,0)</f>
        <v>975780</v>
      </c>
      <c r="N259" s="21">
        <f t="shared" si="12"/>
        <v>0</v>
      </c>
      <c r="P259" s="25" t="s">
        <v>1079</v>
      </c>
      <c r="Q259" s="25">
        <v>975780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845375</v>
      </c>
      <c r="E260" s="21">
        <f>INDEX(Data[],MATCH($A260,Data[Dist],0),MATCH(E$6,Data[#Headers],0))</f>
        <v>845375</v>
      </c>
      <c r="F260" s="21">
        <f>INDEX(Data[],MATCH($A260,Data[Dist],0),MATCH(F$6,Data[#Headers],0))</f>
        <v>845373</v>
      </c>
      <c r="G260" s="21">
        <f>INDEX(Data[],MATCH($A260,Data[Dist],0),MATCH(G$6,Data[#Headers],0))</f>
        <v>8469864</v>
      </c>
      <c r="H260" s="21">
        <f>INDEX(Data[],MATCH($A260,Data[Dist],0),MATCH(H$6,Data[#Headers],0))-G260</f>
        <v>0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1690750</v>
      </c>
      <c r="L260" s="21">
        <f>INDEX(Notes!$I$2:$N$11,MATCH(Notes!$B$2,Notes!$I$2:$I$11,0),6)*$E260</f>
        <v>2536125</v>
      </c>
      <c r="M260" s="21">
        <f>IF(Notes!$B$2="June",'Payment Total'!$F260,0)</f>
        <v>845373</v>
      </c>
      <c r="N260" s="21">
        <f t="shared" si="12"/>
        <v>0</v>
      </c>
      <c r="P260" s="25" t="s">
        <v>1080</v>
      </c>
      <c r="Q260" s="25">
        <v>845373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518517</v>
      </c>
      <c r="E261" s="21">
        <f>INDEX(Data[],MATCH($A261,Data[Dist],0),MATCH(E$6,Data[#Headers],0))</f>
        <v>518517</v>
      </c>
      <c r="F261" s="21">
        <f>INDEX(Data[],MATCH($A261,Data[Dist],0),MATCH(F$6,Data[#Headers],0))</f>
        <v>518515</v>
      </c>
      <c r="G261" s="21">
        <f>INDEX(Data[],MATCH($A261,Data[Dist],0),MATCH(G$6,Data[#Headers],0))</f>
        <v>5195340</v>
      </c>
      <c r="H261" s="21">
        <f>INDEX(Data[],MATCH($A261,Data[Dist],0),MATCH(H$6,Data[#Headers],0))-G261</f>
        <v>0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1037034</v>
      </c>
      <c r="L261" s="21">
        <f>INDEX(Notes!$I$2:$N$11,MATCH(Notes!$B$2,Notes!$I$2:$I$11,0),6)*$E261</f>
        <v>1555551</v>
      </c>
      <c r="M261" s="21">
        <f>IF(Notes!$B$2="June",'Payment Total'!$F261,0)</f>
        <v>518515</v>
      </c>
      <c r="N261" s="21">
        <f t="shared" si="12"/>
        <v>0</v>
      </c>
      <c r="P261" s="25" t="s">
        <v>1081</v>
      </c>
      <c r="Q261" s="25">
        <v>518515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276962</v>
      </c>
      <c r="E262" s="21">
        <f>INDEX(Data[],MATCH($A262,Data[Dist],0),MATCH(E$6,Data[#Headers],0))</f>
        <v>276962</v>
      </c>
      <c r="F262" s="21">
        <f>INDEX(Data[],MATCH($A262,Data[Dist],0),MATCH(F$6,Data[#Headers],0))</f>
        <v>276960</v>
      </c>
      <c r="G262" s="21">
        <f>INDEX(Data[],MATCH($A262,Data[Dist],0),MATCH(G$6,Data[#Headers],0))</f>
        <v>2775202</v>
      </c>
      <c r="H262" s="21">
        <f>INDEX(Data[],MATCH($A262,Data[Dist],0),MATCH(H$6,Data[#Headers],0))-G262</f>
        <v>0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553924</v>
      </c>
      <c r="L262" s="21">
        <f>INDEX(Notes!$I$2:$N$11,MATCH(Notes!$B$2,Notes!$I$2:$I$11,0),6)*$E262</f>
        <v>830886</v>
      </c>
      <c r="M262" s="21">
        <f>IF(Notes!$B$2="June",'Payment Total'!$F262,0)</f>
        <v>276960</v>
      </c>
      <c r="N262" s="21">
        <f t="shared" si="12"/>
        <v>0</v>
      </c>
      <c r="P262" s="25" t="s">
        <v>1082</v>
      </c>
      <c r="Q262" s="25">
        <v>276960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460533</v>
      </c>
      <c r="E263" s="21">
        <f>INDEX(Data[],MATCH($A263,Data[Dist],0),MATCH(E$6,Data[#Headers],0))</f>
        <v>460533</v>
      </c>
      <c r="F263" s="21">
        <f>INDEX(Data[],MATCH($A263,Data[Dist],0),MATCH(F$6,Data[#Headers],0))</f>
        <v>460531</v>
      </c>
      <c r="G263" s="21">
        <f>INDEX(Data[],MATCH($A263,Data[Dist],0),MATCH(G$6,Data[#Headers],0))</f>
        <v>4613828</v>
      </c>
      <c r="H263" s="21">
        <f>INDEX(Data[],MATCH($A263,Data[Dist],0),MATCH(H$6,Data[#Headers],0))-G263</f>
        <v>0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921066</v>
      </c>
      <c r="L263" s="21">
        <f>INDEX(Notes!$I$2:$N$11,MATCH(Notes!$B$2,Notes!$I$2:$I$11,0),6)*$E263</f>
        <v>1381599</v>
      </c>
      <c r="M263" s="21">
        <f>IF(Notes!$B$2="June",'Payment Total'!$F263,0)</f>
        <v>460531</v>
      </c>
      <c r="N263" s="21">
        <f t="shared" si="12"/>
        <v>0</v>
      </c>
      <c r="P263" s="25" t="s">
        <v>1083</v>
      </c>
      <c r="Q263" s="25">
        <v>460531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1403490</v>
      </c>
      <c r="E264" s="21">
        <f>INDEX(Data[],MATCH($A264,Data[Dist],0),MATCH(E$6,Data[#Headers],0))</f>
        <v>1403490</v>
      </c>
      <c r="F264" s="21">
        <f>INDEX(Data[],MATCH($A264,Data[Dist],0),MATCH(F$6,Data[#Headers],0))</f>
        <v>1403488</v>
      </c>
      <c r="G264" s="21">
        <f>INDEX(Data[],MATCH($A264,Data[Dist],0),MATCH(G$6,Data[#Headers],0))</f>
        <v>14058278</v>
      </c>
      <c r="H264" s="21">
        <f>INDEX(Data[],MATCH($A264,Data[Dist],0),MATCH(H$6,Data[#Headers],0))-G264</f>
        <v>0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2806980</v>
      </c>
      <c r="L264" s="21">
        <f>INDEX(Notes!$I$2:$N$11,MATCH(Notes!$B$2,Notes!$I$2:$I$11,0),6)*$E264</f>
        <v>4210470</v>
      </c>
      <c r="M264" s="21">
        <f>IF(Notes!$B$2="June",'Payment Total'!$F264,0)</f>
        <v>1403488</v>
      </c>
      <c r="N264" s="21">
        <f t="shared" ref="N264:N327" si="16">SUM(J264:M264)-G264</f>
        <v>0</v>
      </c>
      <c r="P264" s="25" t="s">
        <v>1084</v>
      </c>
      <c r="Q264" s="25">
        <v>1403488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INDEX($A$7:$H$331,MATCH($S264,$A$7:$A$331,0),6)-Q264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14364888</v>
      </c>
      <c r="E265" s="21">
        <f>INDEX(Data[],MATCH($A265,Data[Dist],0),MATCH(E$6,Data[#Headers],0))</f>
        <v>14364887</v>
      </c>
      <c r="F265" s="21">
        <f>INDEX(Data[],MATCH($A265,Data[Dist],0),MATCH(F$6,Data[#Headers],0))</f>
        <v>14364888</v>
      </c>
      <c r="G265" s="21">
        <f>INDEX(Data[],MATCH($A265,Data[Dist],0),MATCH(G$6,Data[#Headers],0))</f>
        <v>143869029</v>
      </c>
      <c r="H265" s="21">
        <f>INDEX(Data[],MATCH($A265,Data[Dist],0),MATCH(H$6,Data[#Headers],0))-G265</f>
        <v>0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28729776</v>
      </c>
      <c r="L265" s="21">
        <f>INDEX(Notes!$I$2:$N$11,MATCH(Notes!$B$2,Notes!$I$2:$I$11,0),6)*$E265</f>
        <v>43094661</v>
      </c>
      <c r="M265" s="21">
        <f>IF(Notes!$B$2="June",'Payment Total'!$F265,0)</f>
        <v>14364888</v>
      </c>
      <c r="N265" s="21">
        <f t="shared" si="16"/>
        <v>0</v>
      </c>
      <c r="P265" s="25" t="s">
        <v>1085</v>
      </c>
      <c r="Q265" s="25">
        <v>14364888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298144</v>
      </c>
      <c r="E266" s="21">
        <f>INDEX(Data[],MATCH($A266,Data[Dist],0),MATCH(E$6,Data[#Headers],0))</f>
        <v>298144</v>
      </c>
      <c r="F266" s="21">
        <f>INDEX(Data[],MATCH($A266,Data[Dist],0),MATCH(F$6,Data[#Headers],0))</f>
        <v>298145</v>
      </c>
      <c r="G266" s="21">
        <f>INDEX(Data[],MATCH($A266,Data[Dist],0),MATCH(G$6,Data[#Headers],0))</f>
        <v>2987865</v>
      </c>
      <c r="H266" s="21">
        <f>INDEX(Data[],MATCH($A266,Data[Dist],0),MATCH(H$6,Data[#Headers],0))-G266</f>
        <v>0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596288</v>
      </c>
      <c r="L266" s="21">
        <f>INDEX(Notes!$I$2:$N$11,MATCH(Notes!$B$2,Notes!$I$2:$I$11,0),6)*$E266</f>
        <v>894432</v>
      </c>
      <c r="M266" s="21">
        <f>IF(Notes!$B$2="June",'Payment Total'!$F266,0)</f>
        <v>298145</v>
      </c>
      <c r="N266" s="21">
        <f t="shared" si="16"/>
        <v>0</v>
      </c>
      <c r="P266" s="25" t="s">
        <v>1086</v>
      </c>
      <c r="Q266" s="25">
        <v>298145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567444</v>
      </c>
      <c r="E267" s="21">
        <f>INDEX(Data[],MATCH($A267,Data[Dist],0),MATCH(E$6,Data[#Headers],0))</f>
        <v>567443</v>
      </c>
      <c r="F267" s="21">
        <f>INDEX(Data[],MATCH($A267,Data[Dist],0),MATCH(F$6,Data[#Headers],0))</f>
        <v>567444</v>
      </c>
      <c r="G267" s="21">
        <f>INDEX(Data[],MATCH($A267,Data[Dist],0),MATCH(G$6,Data[#Headers],0))</f>
        <v>5687941</v>
      </c>
      <c r="H267" s="21">
        <f>INDEX(Data[],MATCH($A267,Data[Dist],0),MATCH(H$6,Data[#Headers],0))-G267</f>
        <v>0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1134888</v>
      </c>
      <c r="L267" s="21">
        <f>INDEX(Notes!$I$2:$N$11,MATCH(Notes!$B$2,Notes!$I$2:$I$11,0),6)*$E267</f>
        <v>1702329</v>
      </c>
      <c r="M267" s="21">
        <f>IF(Notes!$B$2="June",'Payment Total'!$F267,0)</f>
        <v>567444</v>
      </c>
      <c r="N267" s="21">
        <f t="shared" si="16"/>
        <v>0</v>
      </c>
      <c r="P267" s="25" t="s">
        <v>1087</v>
      </c>
      <c r="Q267" s="25">
        <v>567444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1033760</v>
      </c>
      <c r="E268" s="21">
        <f>INDEX(Data[],MATCH($A268,Data[Dist],0),MATCH(E$6,Data[#Headers],0))</f>
        <v>1033760</v>
      </c>
      <c r="F268" s="21">
        <f>INDEX(Data[],MATCH($A268,Data[Dist],0),MATCH(F$6,Data[#Headers],0))</f>
        <v>1033761</v>
      </c>
      <c r="G268" s="21">
        <f>INDEX(Data[],MATCH($A268,Data[Dist],0),MATCH(G$6,Data[#Headers],0))</f>
        <v>10359305</v>
      </c>
      <c r="H268" s="21">
        <f>INDEX(Data[],MATCH($A268,Data[Dist],0),MATCH(H$6,Data[#Headers],0))-G268</f>
        <v>0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2067520</v>
      </c>
      <c r="L268" s="21">
        <f>INDEX(Notes!$I$2:$N$11,MATCH(Notes!$B$2,Notes!$I$2:$I$11,0),6)*$E268</f>
        <v>3101280</v>
      </c>
      <c r="M268" s="21">
        <f>IF(Notes!$B$2="June",'Payment Total'!$F268,0)</f>
        <v>1033761</v>
      </c>
      <c r="N268" s="21">
        <f t="shared" si="16"/>
        <v>0</v>
      </c>
      <c r="P268" s="25" t="s">
        <v>1088</v>
      </c>
      <c r="Q268" s="25">
        <v>1033761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405843</v>
      </c>
      <c r="E269" s="21">
        <f>INDEX(Data[],MATCH($A269,Data[Dist],0),MATCH(E$6,Data[#Headers],0))</f>
        <v>405842</v>
      </c>
      <c r="F269" s="21">
        <f>INDEX(Data[],MATCH($A269,Data[Dist],0),MATCH(F$6,Data[#Headers],0))</f>
        <v>405843</v>
      </c>
      <c r="G269" s="21">
        <f>INDEX(Data[],MATCH($A269,Data[Dist],0),MATCH(G$6,Data[#Headers],0))</f>
        <v>4065855</v>
      </c>
      <c r="H269" s="21">
        <f>INDEX(Data[],MATCH($A269,Data[Dist],0),MATCH(H$6,Data[#Headers],0))-G269</f>
        <v>0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811686</v>
      </c>
      <c r="L269" s="21">
        <f>INDEX(Notes!$I$2:$N$11,MATCH(Notes!$B$2,Notes!$I$2:$I$11,0),6)*$E269</f>
        <v>1217526</v>
      </c>
      <c r="M269" s="21">
        <f>IF(Notes!$B$2="June",'Payment Total'!$F269,0)</f>
        <v>405843</v>
      </c>
      <c r="N269" s="21">
        <f t="shared" si="16"/>
        <v>0</v>
      </c>
      <c r="P269" s="25" t="s">
        <v>1089</v>
      </c>
      <c r="Q269" s="25">
        <v>405843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420682</v>
      </c>
      <c r="E270" s="21">
        <f>INDEX(Data[],MATCH($A270,Data[Dist],0),MATCH(E$6,Data[#Headers],0))</f>
        <v>420682</v>
      </c>
      <c r="F270" s="21">
        <f>INDEX(Data[],MATCH($A270,Data[Dist],0),MATCH(F$6,Data[#Headers],0))</f>
        <v>420681</v>
      </c>
      <c r="G270" s="21">
        <f>INDEX(Data[],MATCH($A270,Data[Dist],0),MATCH(G$6,Data[#Headers],0))</f>
        <v>4216087</v>
      </c>
      <c r="H270" s="21">
        <f>INDEX(Data[],MATCH($A270,Data[Dist],0),MATCH(H$6,Data[#Headers],0))-G270</f>
        <v>0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841364</v>
      </c>
      <c r="L270" s="21">
        <f>INDEX(Notes!$I$2:$N$11,MATCH(Notes!$B$2,Notes!$I$2:$I$11,0),6)*$E270</f>
        <v>1262046</v>
      </c>
      <c r="M270" s="21">
        <f>IF(Notes!$B$2="June",'Payment Total'!$F270,0)</f>
        <v>420681</v>
      </c>
      <c r="N270" s="21">
        <f t="shared" si="16"/>
        <v>0</v>
      </c>
      <c r="P270" s="25" t="s">
        <v>1090</v>
      </c>
      <c r="Q270" s="25">
        <v>420681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748916</v>
      </c>
      <c r="E271" s="21">
        <f>INDEX(Data[],MATCH($A271,Data[Dist],0),MATCH(E$6,Data[#Headers],0))</f>
        <v>748915</v>
      </c>
      <c r="F271" s="21">
        <f>INDEX(Data[],MATCH($A271,Data[Dist],0),MATCH(F$6,Data[#Headers],0))</f>
        <v>748916</v>
      </c>
      <c r="G271" s="21">
        <f>INDEX(Data[],MATCH($A271,Data[Dist],0),MATCH(G$6,Data[#Headers],0))</f>
        <v>7505953</v>
      </c>
      <c r="H271" s="21">
        <f>INDEX(Data[],MATCH($A271,Data[Dist],0),MATCH(H$6,Data[#Headers],0))-G271</f>
        <v>0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1497832</v>
      </c>
      <c r="L271" s="21">
        <f>INDEX(Notes!$I$2:$N$11,MATCH(Notes!$B$2,Notes!$I$2:$I$11,0),6)*$E271</f>
        <v>2246745</v>
      </c>
      <c r="M271" s="21">
        <f>IF(Notes!$B$2="June",'Payment Total'!$F271,0)</f>
        <v>748916</v>
      </c>
      <c r="N271" s="21">
        <f t="shared" si="16"/>
        <v>0</v>
      </c>
      <c r="P271" s="25" t="s">
        <v>1091</v>
      </c>
      <c r="Q271" s="25">
        <v>748916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139128</v>
      </c>
      <c r="E272" s="21">
        <f>INDEX(Data[],MATCH($A272,Data[Dist],0),MATCH(E$6,Data[#Headers],0))</f>
        <v>139128</v>
      </c>
      <c r="F272" s="21">
        <f>INDEX(Data[],MATCH($A272,Data[Dist],0),MATCH(F$6,Data[#Headers],0))</f>
        <v>139127</v>
      </c>
      <c r="G272" s="21">
        <f>INDEX(Data[],MATCH($A272,Data[Dist],0),MATCH(G$6,Data[#Headers],0))</f>
        <v>1394139</v>
      </c>
      <c r="H272" s="21">
        <f>INDEX(Data[],MATCH($A272,Data[Dist],0),MATCH(H$6,Data[#Headers],0))-G272</f>
        <v>0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278256</v>
      </c>
      <c r="L272" s="21">
        <f>INDEX(Notes!$I$2:$N$11,MATCH(Notes!$B$2,Notes!$I$2:$I$11,0),6)*$E272</f>
        <v>417384</v>
      </c>
      <c r="M272" s="21">
        <f>IF(Notes!$B$2="June",'Payment Total'!$F272,0)</f>
        <v>139127</v>
      </c>
      <c r="N272" s="21">
        <f t="shared" si="16"/>
        <v>0</v>
      </c>
      <c r="P272" s="25" t="s">
        <v>1092</v>
      </c>
      <c r="Q272" s="25">
        <v>139127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1268602</v>
      </c>
      <c r="E273" s="21">
        <f>INDEX(Data[],MATCH($A273,Data[Dist],0),MATCH(E$6,Data[#Headers],0))</f>
        <v>1191866</v>
      </c>
      <c r="F273" s="21">
        <f>INDEX(Data[],MATCH($A273,Data[Dist],0),MATCH(F$6,Data[#Headers],0))</f>
        <v>1191866</v>
      </c>
      <c r="G273" s="21">
        <f>INDEX(Data[],MATCH($A273,Data[Dist],0),MATCH(G$6,Data[#Headers],0))</f>
        <v>12399832</v>
      </c>
      <c r="H273" s="21">
        <f>INDEX(Data[],MATCH($A273,Data[Dist],0),MATCH(H$6,Data[#Headers],0))-G273</f>
        <v>0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2537204</v>
      </c>
      <c r="L273" s="21">
        <f>INDEX(Notes!$I$2:$N$11,MATCH(Notes!$B$2,Notes!$I$2:$I$11,0),6)*$E273</f>
        <v>3575598</v>
      </c>
      <c r="M273" s="21">
        <f>IF(Notes!$B$2="June",'Payment Total'!$F273,0)</f>
        <v>1191866</v>
      </c>
      <c r="N273" s="21">
        <f t="shared" si="16"/>
        <v>0</v>
      </c>
      <c r="P273" s="25" t="s">
        <v>1093</v>
      </c>
      <c r="Q273" s="25">
        <v>1191866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459547</v>
      </c>
      <c r="E274" s="21">
        <f>INDEX(Data[],MATCH($A274,Data[Dist],0),MATCH(E$6,Data[#Headers],0))</f>
        <v>459547</v>
      </c>
      <c r="F274" s="21">
        <f>INDEX(Data[],MATCH($A274,Data[Dist],0),MATCH(F$6,Data[#Headers],0))</f>
        <v>459546</v>
      </c>
      <c r="G274" s="21">
        <f>INDEX(Data[],MATCH($A274,Data[Dist],0),MATCH(G$6,Data[#Headers],0))</f>
        <v>4603657</v>
      </c>
      <c r="H274" s="21">
        <f>INDEX(Data[],MATCH($A274,Data[Dist],0),MATCH(H$6,Data[#Headers],0))-G274</f>
        <v>0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919094</v>
      </c>
      <c r="L274" s="21">
        <f>INDEX(Notes!$I$2:$N$11,MATCH(Notes!$B$2,Notes!$I$2:$I$11,0),6)*$E274</f>
        <v>1378641</v>
      </c>
      <c r="M274" s="21">
        <f>IF(Notes!$B$2="June",'Payment Total'!$F274,0)</f>
        <v>459546</v>
      </c>
      <c r="N274" s="21">
        <f t="shared" si="16"/>
        <v>0</v>
      </c>
      <c r="P274" s="25" t="s">
        <v>1094</v>
      </c>
      <c r="Q274" s="25">
        <v>459546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6088697</v>
      </c>
      <c r="E275" s="21">
        <f>INDEX(Data[],MATCH($A275,Data[Dist],0),MATCH(E$6,Data[#Headers],0))</f>
        <v>6088697</v>
      </c>
      <c r="F275" s="21">
        <f>INDEX(Data[],MATCH($A275,Data[Dist],0),MATCH(F$6,Data[#Headers],0))</f>
        <v>6088696</v>
      </c>
      <c r="G275" s="21">
        <f>INDEX(Data[],MATCH($A275,Data[Dist],0),MATCH(G$6,Data[#Headers],0))</f>
        <v>60997769</v>
      </c>
      <c r="H275" s="21">
        <f>INDEX(Data[],MATCH($A275,Data[Dist],0),MATCH(H$6,Data[#Headers],0))-G275</f>
        <v>0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12177394</v>
      </c>
      <c r="L275" s="21">
        <f>INDEX(Notes!$I$2:$N$11,MATCH(Notes!$B$2,Notes!$I$2:$I$11,0),6)*$E275</f>
        <v>18266091</v>
      </c>
      <c r="M275" s="21">
        <f>IF(Notes!$B$2="June",'Payment Total'!$F275,0)</f>
        <v>6088696</v>
      </c>
      <c r="N275" s="21">
        <f t="shared" si="16"/>
        <v>0</v>
      </c>
      <c r="P275" s="25" t="s">
        <v>1095</v>
      </c>
      <c r="Q275" s="25">
        <v>6088696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1672100</v>
      </c>
      <c r="E276" s="21">
        <f>INDEX(Data[],MATCH($A276,Data[Dist],0),MATCH(E$6,Data[#Headers],0))</f>
        <v>1672099</v>
      </c>
      <c r="F276" s="21">
        <f>INDEX(Data[],MATCH($A276,Data[Dist],0),MATCH(F$6,Data[#Headers],0))</f>
        <v>1672100</v>
      </c>
      <c r="G276" s="21">
        <f>INDEX(Data[],MATCH($A276,Data[Dist],0),MATCH(G$6,Data[#Headers],0))</f>
        <v>16750597</v>
      </c>
      <c r="H276" s="21">
        <f>INDEX(Data[],MATCH($A276,Data[Dist],0),MATCH(H$6,Data[#Headers],0))-G276</f>
        <v>0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3344200</v>
      </c>
      <c r="L276" s="21">
        <f>INDEX(Notes!$I$2:$N$11,MATCH(Notes!$B$2,Notes!$I$2:$I$11,0),6)*$E276</f>
        <v>5016297</v>
      </c>
      <c r="M276" s="21">
        <f>IF(Notes!$B$2="June",'Payment Total'!$F276,0)</f>
        <v>1672100</v>
      </c>
      <c r="N276" s="21">
        <f t="shared" si="16"/>
        <v>0</v>
      </c>
      <c r="P276" s="25" t="s">
        <v>1096</v>
      </c>
      <c r="Q276" s="25">
        <v>1672100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195962</v>
      </c>
      <c r="E277" s="21">
        <f>INDEX(Data[],MATCH($A277,Data[Dist],0),MATCH(E$6,Data[#Headers],0))</f>
        <v>195962</v>
      </c>
      <c r="F277" s="21">
        <f>INDEX(Data[],MATCH($A277,Data[Dist],0),MATCH(F$6,Data[#Headers],0))</f>
        <v>195963</v>
      </c>
      <c r="G277" s="21">
        <f>INDEX(Data[],MATCH($A277,Data[Dist],0),MATCH(G$6,Data[#Headers],0))</f>
        <v>1977105</v>
      </c>
      <c r="H277" s="21">
        <f>INDEX(Data[],MATCH($A277,Data[Dist],0),MATCH(H$6,Data[#Headers],0))-G277</f>
        <v>0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391924</v>
      </c>
      <c r="L277" s="21">
        <f>INDEX(Notes!$I$2:$N$11,MATCH(Notes!$B$2,Notes!$I$2:$I$11,0),6)*$E277</f>
        <v>587886</v>
      </c>
      <c r="M277" s="21">
        <f>IF(Notes!$B$2="June",'Payment Total'!$F277,0)</f>
        <v>195963</v>
      </c>
      <c r="N277" s="21">
        <f t="shared" si="16"/>
        <v>0</v>
      </c>
      <c r="P277" s="25" t="s">
        <v>1097</v>
      </c>
      <c r="Q277" s="25">
        <v>195963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347433</v>
      </c>
      <c r="E278" s="21">
        <f>INDEX(Data[],MATCH($A278,Data[Dist],0),MATCH(E$6,Data[#Headers],0))</f>
        <v>347433</v>
      </c>
      <c r="F278" s="21">
        <f>INDEX(Data[],MATCH($A278,Data[Dist],0),MATCH(F$6,Data[#Headers],0))</f>
        <v>347434</v>
      </c>
      <c r="G278" s="21">
        <f>INDEX(Data[],MATCH($A278,Data[Dist],0),MATCH(G$6,Data[#Headers],0))</f>
        <v>3480471</v>
      </c>
      <c r="H278" s="21">
        <f>INDEX(Data[],MATCH($A278,Data[Dist],0),MATCH(H$6,Data[#Headers],0))-G278</f>
        <v>0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694866</v>
      </c>
      <c r="L278" s="21">
        <f>INDEX(Notes!$I$2:$N$11,MATCH(Notes!$B$2,Notes!$I$2:$I$11,0),6)*$E278</f>
        <v>1042299</v>
      </c>
      <c r="M278" s="21">
        <f>IF(Notes!$B$2="June",'Payment Total'!$F278,0)</f>
        <v>347434</v>
      </c>
      <c r="N278" s="21">
        <f t="shared" si="16"/>
        <v>0</v>
      </c>
      <c r="P278" s="25" t="s">
        <v>1098</v>
      </c>
      <c r="Q278" s="25">
        <v>347434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184379</v>
      </c>
      <c r="E279" s="21">
        <f>INDEX(Data[],MATCH($A279,Data[Dist],0),MATCH(E$6,Data[#Headers],0))</f>
        <v>184379</v>
      </c>
      <c r="F279" s="21">
        <f>INDEX(Data[],MATCH($A279,Data[Dist],0),MATCH(F$6,Data[#Headers],0))</f>
        <v>184378</v>
      </c>
      <c r="G279" s="21">
        <f>INDEX(Data[],MATCH($A279,Data[Dist],0),MATCH(G$6,Data[#Headers],0))</f>
        <v>1846801</v>
      </c>
      <c r="H279" s="21">
        <f>INDEX(Data[],MATCH($A279,Data[Dist],0),MATCH(H$6,Data[#Headers],0))-G279</f>
        <v>0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368758</v>
      </c>
      <c r="L279" s="21">
        <f>INDEX(Notes!$I$2:$N$11,MATCH(Notes!$B$2,Notes!$I$2:$I$11,0),6)*$E279</f>
        <v>553137</v>
      </c>
      <c r="M279" s="21">
        <f>IF(Notes!$B$2="June",'Payment Total'!$F279,0)</f>
        <v>184378</v>
      </c>
      <c r="N279" s="21">
        <f t="shared" si="16"/>
        <v>0</v>
      </c>
      <c r="P279" s="25" t="s">
        <v>1099</v>
      </c>
      <c r="Q279" s="25">
        <v>184378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432678</v>
      </c>
      <c r="E280" s="21">
        <f>INDEX(Data[],MATCH($A280,Data[Dist],0),MATCH(E$6,Data[#Headers],0))</f>
        <v>432677</v>
      </c>
      <c r="F280" s="21">
        <f>INDEX(Data[],MATCH($A280,Data[Dist],0),MATCH(F$6,Data[#Headers],0))</f>
        <v>432678</v>
      </c>
      <c r="G280" s="21">
        <f>INDEX(Data[],MATCH($A280,Data[Dist],0),MATCH(G$6,Data[#Headers],0))</f>
        <v>4334981</v>
      </c>
      <c r="H280" s="21">
        <f>INDEX(Data[],MATCH($A280,Data[Dist],0),MATCH(H$6,Data[#Headers],0))-G280</f>
        <v>0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865356</v>
      </c>
      <c r="L280" s="21">
        <f>INDEX(Notes!$I$2:$N$11,MATCH(Notes!$B$2,Notes!$I$2:$I$11,0),6)*$E280</f>
        <v>1298031</v>
      </c>
      <c r="M280" s="21">
        <f>IF(Notes!$B$2="June",'Payment Total'!$F280,0)</f>
        <v>432678</v>
      </c>
      <c r="N280" s="21">
        <f t="shared" si="16"/>
        <v>0</v>
      </c>
      <c r="P280" s="25" t="s">
        <v>1100</v>
      </c>
      <c r="Q280" s="25">
        <v>432678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2677650</v>
      </c>
      <c r="E281" s="21">
        <f>INDEX(Data[],MATCH($A281,Data[Dist],0),MATCH(E$6,Data[#Headers],0))</f>
        <v>2677650</v>
      </c>
      <c r="F281" s="21">
        <f>INDEX(Data[],MATCH($A281,Data[Dist],0),MATCH(F$6,Data[#Headers],0))</f>
        <v>2677650</v>
      </c>
      <c r="G281" s="21">
        <f>INDEX(Data[],MATCH($A281,Data[Dist],0),MATCH(G$6,Data[#Headers],0))</f>
        <v>26816968</v>
      </c>
      <c r="H281" s="21">
        <f>INDEX(Data[],MATCH($A281,Data[Dist],0),MATCH(H$6,Data[#Headers],0))-G281</f>
        <v>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5355300</v>
      </c>
      <c r="L281" s="21">
        <f>INDEX(Notes!$I$2:$N$11,MATCH(Notes!$B$2,Notes!$I$2:$I$11,0),6)*$E281</f>
        <v>8032950</v>
      </c>
      <c r="M281" s="21">
        <f>IF(Notes!$B$2="June",'Payment Total'!$F281,0)</f>
        <v>2677650</v>
      </c>
      <c r="N281" s="21">
        <f t="shared" si="16"/>
        <v>0</v>
      </c>
      <c r="P281" s="25" t="s">
        <v>1101</v>
      </c>
      <c r="Q281" s="25">
        <v>2677650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108055</v>
      </c>
      <c r="E282" s="21">
        <f>INDEX(Data[],MATCH($A282,Data[Dist],0),MATCH(E$6,Data[#Headers],0))</f>
        <v>108056</v>
      </c>
      <c r="F282" s="21">
        <f>INDEX(Data[],MATCH($A282,Data[Dist],0),MATCH(F$6,Data[#Headers],0))</f>
        <v>108054</v>
      </c>
      <c r="G282" s="21">
        <f>INDEX(Data[],MATCH($A282,Data[Dist],0),MATCH(G$6,Data[#Headers],0))</f>
        <v>1082640</v>
      </c>
      <c r="H282" s="21">
        <f>INDEX(Data[],MATCH($A282,Data[Dist],0),MATCH(H$6,Data[#Headers],0))-G282</f>
        <v>0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216110</v>
      </c>
      <c r="L282" s="21">
        <f>INDEX(Notes!$I$2:$N$11,MATCH(Notes!$B$2,Notes!$I$2:$I$11,0),6)*$E282</f>
        <v>324168</v>
      </c>
      <c r="M282" s="21">
        <f>IF(Notes!$B$2="June",'Payment Total'!$F282,0)</f>
        <v>108054</v>
      </c>
      <c r="N282" s="21">
        <f t="shared" si="16"/>
        <v>0</v>
      </c>
      <c r="P282" s="25" t="s">
        <v>1102</v>
      </c>
      <c r="Q282" s="25">
        <v>108054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653932</v>
      </c>
      <c r="E283" s="21">
        <f>INDEX(Data[],MATCH($A283,Data[Dist],0),MATCH(E$6,Data[#Headers],0))</f>
        <v>653931</v>
      </c>
      <c r="F283" s="21">
        <f>INDEX(Data[],MATCH($A283,Data[Dist],0),MATCH(F$6,Data[#Headers],0))</f>
        <v>653932</v>
      </c>
      <c r="G283" s="21">
        <f>INDEX(Data[],MATCH($A283,Data[Dist],0),MATCH(G$6,Data[#Headers],0))</f>
        <v>6553825</v>
      </c>
      <c r="H283" s="21">
        <f>INDEX(Data[],MATCH($A283,Data[Dist],0),MATCH(H$6,Data[#Headers],0))-G283</f>
        <v>0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1307864</v>
      </c>
      <c r="L283" s="21">
        <f>INDEX(Notes!$I$2:$N$11,MATCH(Notes!$B$2,Notes!$I$2:$I$11,0),6)*$E283</f>
        <v>1961793</v>
      </c>
      <c r="M283" s="21">
        <f>IF(Notes!$B$2="June",'Payment Total'!$F283,0)</f>
        <v>653932</v>
      </c>
      <c r="N283" s="21">
        <f t="shared" si="16"/>
        <v>0</v>
      </c>
      <c r="P283" s="25" t="s">
        <v>1103</v>
      </c>
      <c r="Q283" s="25">
        <v>653932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598679</v>
      </c>
      <c r="E284" s="21">
        <f>INDEX(Data[],MATCH($A284,Data[Dist],0),MATCH(E$6,Data[#Headers],0))</f>
        <v>598679</v>
      </c>
      <c r="F284" s="21">
        <f>INDEX(Data[],MATCH($A284,Data[Dist],0),MATCH(F$6,Data[#Headers],0))</f>
        <v>598680</v>
      </c>
      <c r="G284" s="21">
        <f>INDEX(Data[],MATCH($A284,Data[Dist],0),MATCH(G$6,Data[#Headers],0))</f>
        <v>5998327</v>
      </c>
      <c r="H284" s="21">
        <f>INDEX(Data[],MATCH($A284,Data[Dist],0),MATCH(H$6,Data[#Headers],0))-G284</f>
        <v>0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1197358</v>
      </c>
      <c r="L284" s="21">
        <f>INDEX(Notes!$I$2:$N$11,MATCH(Notes!$B$2,Notes!$I$2:$I$11,0),6)*$E284</f>
        <v>1796037</v>
      </c>
      <c r="M284" s="21">
        <f>IF(Notes!$B$2="June",'Payment Total'!$F284,0)</f>
        <v>598680</v>
      </c>
      <c r="N284" s="21">
        <f t="shared" si="16"/>
        <v>0</v>
      </c>
      <c r="P284" s="25" t="s">
        <v>1104</v>
      </c>
      <c r="Q284" s="25">
        <v>598680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598828</v>
      </c>
      <c r="E285" s="21">
        <f>INDEX(Data[],MATCH($A285,Data[Dist],0),MATCH(E$6,Data[#Headers],0))</f>
        <v>598828</v>
      </c>
      <c r="F285" s="21">
        <f>INDEX(Data[],MATCH($A285,Data[Dist],0),MATCH(F$6,Data[#Headers],0))</f>
        <v>598826</v>
      </c>
      <c r="G285" s="21">
        <f>INDEX(Data[],MATCH($A285,Data[Dist],0),MATCH(G$6,Data[#Headers],0))</f>
        <v>5999774</v>
      </c>
      <c r="H285" s="21">
        <f>INDEX(Data[],MATCH($A285,Data[Dist],0),MATCH(H$6,Data[#Headers],0))-G285</f>
        <v>0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1197656</v>
      </c>
      <c r="L285" s="21">
        <f>INDEX(Notes!$I$2:$N$11,MATCH(Notes!$B$2,Notes!$I$2:$I$11,0),6)*$E285</f>
        <v>1796484</v>
      </c>
      <c r="M285" s="21">
        <f>IF(Notes!$B$2="June",'Payment Total'!$F285,0)</f>
        <v>598826</v>
      </c>
      <c r="N285" s="21">
        <f t="shared" si="16"/>
        <v>0</v>
      </c>
      <c r="P285" s="25" t="s">
        <v>1105</v>
      </c>
      <c r="Q285" s="25">
        <v>598826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415096</v>
      </c>
      <c r="E286" s="21">
        <f>INDEX(Data[],MATCH($A286,Data[Dist],0),MATCH(E$6,Data[#Headers],0))</f>
        <v>408548</v>
      </c>
      <c r="F286" s="21">
        <f>INDEX(Data[],MATCH($A286,Data[Dist],0),MATCH(F$6,Data[#Headers],0))</f>
        <v>408549</v>
      </c>
      <c r="G286" s="21">
        <f>INDEX(Data[],MATCH($A286,Data[Dist],0),MATCH(G$6,Data[#Headers],0))</f>
        <v>4133569</v>
      </c>
      <c r="H286" s="21">
        <f>INDEX(Data[],MATCH($A286,Data[Dist],0),MATCH(H$6,Data[#Headers],0))-G286</f>
        <v>0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830192</v>
      </c>
      <c r="L286" s="21">
        <f>INDEX(Notes!$I$2:$N$11,MATCH(Notes!$B$2,Notes!$I$2:$I$11,0),6)*$E286</f>
        <v>1225644</v>
      </c>
      <c r="M286" s="21">
        <f>IF(Notes!$B$2="June",'Payment Total'!$F286,0)</f>
        <v>408549</v>
      </c>
      <c r="N286" s="21">
        <f t="shared" si="16"/>
        <v>0</v>
      </c>
      <c r="P286" s="25" t="s">
        <v>1106</v>
      </c>
      <c r="Q286" s="25">
        <v>408549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541674</v>
      </c>
      <c r="E287" s="21">
        <f>INDEX(Data[],MATCH($A287,Data[Dist],0),MATCH(E$6,Data[#Headers],0))</f>
        <v>541674</v>
      </c>
      <c r="F287" s="21">
        <f>INDEX(Data[],MATCH($A287,Data[Dist],0),MATCH(F$6,Data[#Headers],0))</f>
        <v>541675</v>
      </c>
      <c r="G287" s="21">
        <f>INDEX(Data[],MATCH($A287,Data[Dist],0),MATCH(G$6,Data[#Headers],0))</f>
        <v>5426861</v>
      </c>
      <c r="H287" s="21">
        <f>INDEX(Data[],MATCH($A287,Data[Dist],0),MATCH(H$6,Data[#Headers],0))-G287</f>
        <v>0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1083348</v>
      </c>
      <c r="L287" s="21">
        <f>INDEX(Notes!$I$2:$N$11,MATCH(Notes!$B$2,Notes!$I$2:$I$11,0),6)*$E287</f>
        <v>1625022</v>
      </c>
      <c r="M287" s="21">
        <f>IF(Notes!$B$2="June",'Payment Total'!$F287,0)</f>
        <v>541675</v>
      </c>
      <c r="N287" s="21">
        <f t="shared" si="16"/>
        <v>0</v>
      </c>
      <c r="P287" s="25" t="s">
        <v>1107</v>
      </c>
      <c r="Q287" s="25">
        <v>541675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187979</v>
      </c>
      <c r="E288" s="21">
        <f>INDEX(Data[],MATCH($A288,Data[Dist],0),MATCH(E$6,Data[#Headers],0))</f>
        <v>187979</v>
      </c>
      <c r="F288" s="21">
        <f>INDEX(Data[],MATCH($A288,Data[Dist],0),MATCH(F$6,Data[#Headers],0))</f>
        <v>187977</v>
      </c>
      <c r="G288" s="21">
        <f>INDEX(Data[],MATCH($A288,Data[Dist],0),MATCH(G$6,Data[#Headers],0))</f>
        <v>1883432</v>
      </c>
      <c r="H288" s="21">
        <f>INDEX(Data[],MATCH($A288,Data[Dist],0),MATCH(H$6,Data[#Headers],0))-G288</f>
        <v>0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375958</v>
      </c>
      <c r="L288" s="21">
        <f>INDEX(Notes!$I$2:$N$11,MATCH(Notes!$B$2,Notes!$I$2:$I$11,0),6)*$E288</f>
        <v>563937</v>
      </c>
      <c r="M288" s="21">
        <f>IF(Notes!$B$2="June",'Payment Total'!$F288,0)</f>
        <v>187977</v>
      </c>
      <c r="N288" s="21">
        <f t="shared" si="16"/>
        <v>0</v>
      </c>
      <c r="P288" s="25" t="s">
        <v>1108</v>
      </c>
      <c r="Q288" s="25">
        <v>187977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351899</v>
      </c>
      <c r="E289" s="21">
        <f>INDEX(Data[],MATCH($A289,Data[Dist],0),MATCH(E$6,Data[#Headers],0))</f>
        <v>351898</v>
      </c>
      <c r="F289" s="21">
        <f>INDEX(Data[],MATCH($A289,Data[Dist],0),MATCH(F$6,Data[#Headers],0))</f>
        <v>351899</v>
      </c>
      <c r="G289" s="21">
        <f>INDEX(Data[],MATCH($A289,Data[Dist],0),MATCH(G$6,Data[#Headers],0))</f>
        <v>3524807</v>
      </c>
      <c r="H289" s="21">
        <f>INDEX(Data[],MATCH($A289,Data[Dist],0),MATCH(H$6,Data[#Headers],0))-G289</f>
        <v>0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703798</v>
      </c>
      <c r="L289" s="21">
        <f>INDEX(Notes!$I$2:$N$11,MATCH(Notes!$B$2,Notes!$I$2:$I$11,0),6)*$E289</f>
        <v>1055694</v>
      </c>
      <c r="M289" s="21">
        <f>IF(Notes!$B$2="June",'Payment Total'!$F289,0)</f>
        <v>351899</v>
      </c>
      <c r="N289" s="21">
        <f t="shared" si="16"/>
        <v>0</v>
      </c>
      <c r="P289" s="25" t="s">
        <v>1109</v>
      </c>
      <c r="Q289" s="25">
        <v>351899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259612</v>
      </c>
      <c r="E290" s="21">
        <f>INDEX(Data[],MATCH($A290,Data[Dist],0),MATCH(E$6,Data[#Headers],0))</f>
        <v>259611</v>
      </c>
      <c r="F290" s="21">
        <f>INDEX(Data[],MATCH($A290,Data[Dist],0),MATCH(F$6,Data[#Headers],0))</f>
        <v>259612</v>
      </c>
      <c r="G290" s="21">
        <f>INDEX(Data[],MATCH($A290,Data[Dist],0),MATCH(G$6,Data[#Headers],0))</f>
        <v>2601541</v>
      </c>
      <c r="H290" s="21">
        <f>INDEX(Data[],MATCH($A290,Data[Dist],0),MATCH(H$6,Data[#Headers],0))-G290</f>
        <v>0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519224</v>
      </c>
      <c r="L290" s="21">
        <f>INDEX(Notes!$I$2:$N$11,MATCH(Notes!$B$2,Notes!$I$2:$I$11,0),6)*$E290</f>
        <v>778833</v>
      </c>
      <c r="M290" s="21">
        <f>IF(Notes!$B$2="June",'Payment Total'!$F290,0)</f>
        <v>259612</v>
      </c>
      <c r="N290" s="21">
        <f t="shared" si="16"/>
        <v>0</v>
      </c>
      <c r="P290" s="25" t="s">
        <v>1110</v>
      </c>
      <c r="Q290" s="25">
        <v>259612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264208</v>
      </c>
      <c r="E291" s="21">
        <f>INDEX(Data[],MATCH($A291,Data[Dist],0),MATCH(E$6,Data[#Headers],0))</f>
        <v>259828</v>
      </c>
      <c r="F291" s="21">
        <f>INDEX(Data[],MATCH($A291,Data[Dist],0),MATCH(F$6,Data[#Headers],0))</f>
        <v>259828</v>
      </c>
      <c r="G291" s="21">
        <f>INDEX(Data[],MATCH($A291,Data[Dist],0),MATCH(G$6,Data[#Headers],0))</f>
        <v>2628992</v>
      </c>
      <c r="H291" s="21">
        <f>INDEX(Data[],MATCH($A291,Data[Dist],0),MATCH(H$6,Data[#Headers],0))-G291</f>
        <v>0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528416</v>
      </c>
      <c r="L291" s="21">
        <f>INDEX(Notes!$I$2:$N$11,MATCH(Notes!$B$2,Notes!$I$2:$I$11,0),6)*$E291</f>
        <v>779484</v>
      </c>
      <c r="M291" s="21">
        <f>IF(Notes!$B$2="June",'Payment Total'!$F291,0)</f>
        <v>259828</v>
      </c>
      <c r="N291" s="21">
        <f t="shared" si="16"/>
        <v>0</v>
      </c>
      <c r="P291" s="25" t="s">
        <v>1111</v>
      </c>
      <c r="Q291" s="25">
        <v>259828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93009</v>
      </c>
      <c r="E292" s="21">
        <f>INDEX(Data[],MATCH($A292,Data[Dist],0),MATCH(E$6,Data[#Headers],0))</f>
        <v>93009</v>
      </c>
      <c r="F292" s="21">
        <f>INDEX(Data[],MATCH($A292,Data[Dist],0),MATCH(F$6,Data[#Headers],0))</f>
        <v>93007</v>
      </c>
      <c r="G292" s="21">
        <f>INDEX(Data[],MATCH($A292,Data[Dist],0),MATCH(G$6,Data[#Headers],0))</f>
        <v>932552</v>
      </c>
      <c r="H292" s="21">
        <f>INDEX(Data[],MATCH($A292,Data[Dist],0),MATCH(H$6,Data[#Headers],0))-G292</f>
        <v>0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186018</v>
      </c>
      <c r="L292" s="21">
        <f>INDEX(Notes!$I$2:$N$11,MATCH(Notes!$B$2,Notes!$I$2:$I$11,0),6)*$E292</f>
        <v>279027</v>
      </c>
      <c r="M292" s="21">
        <f>IF(Notes!$B$2="June",'Payment Total'!$F292,0)</f>
        <v>93007</v>
      </c>
      <c r="N292" s="21">
        <f t="shared" si="16"/>
        <v>0</v>
      </c>
      <c r="P292" s="25" t="s">
        <v>1112</v>
      </c>
      <c r="Q292" s="25">
        <v>93007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562797</v>
      </c>
      <c r="E293" s="21">
        <f>INDEX(Data[],MATCH($A293,Data[Dist],0),MATCH(E$6,Data[#Headers],0))</f>
        <v>562798</v>
      </c>
      <c r="F293" s="21">
        <f>INDEX(Data[],MATCH($A293,Data[Dist],0),MATCH(F$6,Data[#Headers],0))</f>
        <v>562796</v>
      </c>
      <c r="G293" s="21">
        <f>INDEX(Data[],MATCH($A293,Data[Dist],0),MATCH(G$6,Data[#Headers],0))</f>
        <v>5638996</v>
      </c>
      <c r="H293" s="21">
        <f>INDEX(Data[],MATCH($A293,Data[Dist],0),MATCH(H$6,Data[#Headers],0))-G293</f>
        <v>0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1125594</v>
      </c>
      <c r="L293" s="21">
        <f>INDEX(Notes!$I$2:$N$11,MATCH(Notes!$B$2,Notes!$I$2:$I$11,0),6)*$E293</f>
        <v>1688394</v>
      </c>
      <c r="M293" s="21">
        <f>IF(Notes!$B$2="June",'Payment Total'!$F293,0)</f>
        <v>562796</v>
      </c>
      <c r="N293" s="21">
        <f t="shared" si="16"/>
        <v>0</v>
      </c>
      <c r="P293" s="25" t="s">
        <v>1113</v>
      </c>
      <c r="Q293" s="25">
        <v>562796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188840</v>
      </c>
      <c r="E294" s="21">
        <f>INDEX(Data[],MATCH($A294,Data[Dist],0),MATCH(E$6,Data[#Headers],0))</f>
        <v>188840</v>
      </c>
      <c r="F294" s="21">
        <f>INDEX(Data[],MATCH($A294,Data[Dist],0),MATCH(F$6,Data[#Headers],0))</f>
        <v>188841</v>
      </c>
      <c r="G294" s="21">
        <f>INDEX(Data[],MATCH($A294,Data[Dist],0),MATCH(G$6,Data[#Headers],0))</f>
        <v>1893949</v>
      </c>
      <c r="H294" s="21">
        <f>INDEX(Data[],MATCH($A294,Data[Dist],0),MATCH(H$6,Data[#Headers],0))-G294</f>
        <v>0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377680</v>
      </c>
      <c r="L294" s="21">
        <f>INDEX(Notes!$I$2:$N$11,MATCH(Notes!$B$2,Notes!$I$2:$I$11,0),6)*$E294</f>
        <v>566520</v>
      </c>
      <c r="M294" s="21">
        <f>IF(Notes!$B$2="June",'Payment Total'!$F294,0)</f>
        <v>188841</v>
      </c>
      <c r="N294" s="21">
        <f t="shared" si="16"/>
        <v>0</v>
      </c>
      <c r="P294" s="25" t="s">
        <v>1114</v>
      </c>
      <c r="Q294" s="25">
        <v>188841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2719949</v>
      </c>
      <c r="E295" s="21">
        <f>INDEX(Data[],MATCH($A295,Data[Dist],0),MATCH(E$6,Data[#Headers],0))</f>
        <v>2719949</v>
      </c>
      <c r="F295" s="21">
        <f>INDEX(Data[],MATCH($A295,Data[Dist],0),MATCH(F$6,Data[#Headers],0))</f>
        <v>2719950</v>
      </c>
      <c r="G295" s="21">
        <f>INDEX(Data[],MATCH($A295,Data[Dist],0),MATCH(G$6,Data[#Headers],0))</f>
        <v>27252047</v>
      </c>
      <c r="H295" s="21">
        <f>INDEX(Data[],MATCH($A295,Data[Dist],0),MATCH(H$6,Data[#Headers],0))-G295</f>
        <v>0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5439898</v>
      </c>
      <c r="L295" s="21">
        <f>INDEX(Notes!$I$2:$N$11,MATCH(Notes!$B$2,Notes!$I$2:$I$11,0),6)*$E295</f>
        <v>8159847</v>
      </c>
      <c r="M295" s="21">
        <f>IF(Notes!$B$2="June",'Payment Total'!$F295,0)</f>
        <v>2719950</v>
      </c>
      <c r="N295" s="21">
        <f t="shared" si="16"/>
        <v>0</v>
      </c>
      <c r="P295" s="25" t="s">
        <v>1115</v>
      </c>
      <c r="Q295" s="25">
        <v>2719950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703390</v>
      </c>
      <c r="E296" s="21">
        <f>INDEX(Data[],MATCH($A296,Data[Dist],0),MATCH(E$6,Data[#Headers],0))</f>
        <v>703390</v>
      </c>
      <c r="F296" s="21">
        <f>INDEX(Data[],MATCH($A296,Data[Dist],0),MATCH(F$6,Data[#Headers],0))</f>
        <v>703391</v>
      </c>
      <c r="G296" s="21">
        <f>INDEX(Data[],MATCH($A296,Data[Dist],0),MATCH(G$6,Data[#Headers],0))</f>
        <v>7048377</v>
      </c>
      <c r="H296" s="21">
        <f>INDEX(Data[],MATCH($A296,Data[Dist],0),MATCH(H$6,Data[#Headers],0))-G296</f>
        <v>0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1406780</v>
      </c>
      <c r="L296" s="21">
        <f>INDEX(Notes!$I$2:$N$11,MATCH(Notes!$B$2,Notes!$I$2:$I$11,0),6)*$E296</f>
        <v>2110170</v>
      </c>
      <c r="M296" s="21">
        <f>IF(Notes!$B$2="June",'Payment Total'!$F296,0)</f>
        <v>703391</v>
      </c>
      <c r="N296" s="21">
        <f t="shared" si="16"/>
        <v>0</v>
      </c>
      <c r="P296" s="25" t="s">
        <v>1116</v>
      </c>
      <c r="Q296" s="25">
        <v>703391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733187</v>
      </c>
      <c r="E297" s="21">
        <f>INDEX(Data[],MATCH($A297,Data[Dist],0),MATCH(E$6,Data[#Headers],0))</f>
        <v>733187</v>
      </c>
      <c r="F297" s="21">
        <f>INDEX(Data[],MATCH($A297,Data[Dist],0),MATCH(F$6,Data[#Headers],0))</f>
        <v>733187</v>
      </c>
      <c r="G297" s="21">
        <f>INDEX(Data[],MATCH($A297,Data[Dist],0),MATCH(G$6,Data[#Headers],0))</f>
        <v>7346470</v>
      </c>
      <c r="H297" s="21">
        <f>INDEX(Data[],MATCH($A297,Data[Dist],0),MATCH(H$6,Data[#Headers],0))-G297</f>
        <v>0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1466374</v>
      </c>
      <c r="L297" s="21">
        <f>INDEX(Notes!$I$2:$N$11,MATCH(Notes!$B$2,Notes!$I$2:$I$11,0),6)*$E297</f>
        <v>2199561</v>
      </c>
      <c r="M297" s="21">
        <f>IF(Notes!$B$2="June",'Payment Total'!$F297,0)</f>
        <v>733187</v>
      </c>
      <c r="N297" s="21">
        <f t="shared" si="16"/>
        <v>0</v>
      </c>
      <c r="P297" s="25" t="s">
        <v>1117</v>
      </c>
      <c r="Q297" s="25">
        <v>733187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208243</v>
      </c>
      <c r="E298" s="21">
        <f>INDEX(Data[],MATCH($A298,Data[Dist],0),MATCH(E$6,Data[#Headers],0))</f>
        <v>208242</v>
      </c>
      <c r="F298" s="21">
        <f>INDEX(Data[],MATCH($A298,Data[Dist],0),MATCH(F$6,Data[#Headers],0))</f>
        <v>208243</v>
      </c>
      <c r="G298" s="21">
        <f>INDEX(Data[],MATCH($A298,Data[Dist],0),MATCH(G$6,Data[#Headers],0))</f>
        <v>2086559</v>
      </c>
      <c r="H298" s="21">
        <f>INDEX(Data[],MATCH($A298,Data[Dist],0),MATCH(H$6,Data[#Headers],0))-G298</f>
        <v>0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416486</v>
      </c>
      <c r="L298" s="21">
        <f>INDEX(Notes!$I$2:$N$11,MATCH(Notes!$B$2,Notes!$I$2:$I$11,0),6)*$E298</f>
        <v>624726</v>
      </c>
      <c r="M298" s="21">
        <f>IF(Notes!$B$2="June",'Payment Total'!$F298,0)</f>
        <v>208243</v>
      </c>
      <c r="N298" s="21">
        <f t="shared" si="16"/>
        <v>0</v>
      </c>
      <c r="P298" s="25" t="s">
        <v>1118</v>
      </c>
      <c r="Q298" s="25">
        <v>208243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1310598</v>
      </c>
      <c r="E299" s="21">
        <f>INDEX(Data[],MATCH($A299,Data[Dist],0),MATCH(E$6,Data[#Headers],0))</f>
        <v>1310598</v>
      </c>
      <c r="F299" s="21">
        <f>INDEX(Data[],MATCH($A299,Data[Dist],0),MATCH(F$6,Data[#Headers],0))</f>
        <v>1310598</v>
      </c>
      <c r="G299" s="21">
        <f>INDEX(Data[],MATCH($A299,Data[Dist],0),MATCH(G$6,Data[#Headers],0))</f>
        <v>13130684</v>
      </c>
      <c r="H299" s="21">
        <f>INDEX(Data[],MATCH($A299,Data[Dist],0),MATCH(H$6,Data[#Headers],0))-G299</f>
        <v>0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2621196</v>
      </c>
      <c r="L299" s="21">
        <f>INDEX(Notes!$I$2:$N$11,MATCH(Notes!$B$2,Notes!$I$2:$I$11,0),6)*$E299</f>
        <v>3931794</v>
      </c>
      <c r="M299" s="21">
        <f>IF(Notes!$B$2="June",'Payment Total'!$F299,0)</f>
        <v>1310598</v>
      </c>
      <c r="N299" s="21">
        <f t="shared" si="16"/>
        <v>0</v>
      </c>
      <c r="P299" s="25" t="s">
        <v>1119</v>
      </c>
      <c r="Q299" s="25">
        <v>1310598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461153</v>
      </c>
      <c r="E300" s="21">
        <f>INDEX(Data[],MATCH($A300,Data[Dist],0),MATCH(E$6,Data[#Headers],0))</f>
        <v>461153</v>
      </c>
      <c r="F300" s="21">
        <f>INDEX(Data[],MATCH($A300,Data[Dist],0),MATCH(F$6,Data[#Headers],0))</f>
        <v>461154</v>
      </c>
      <c r="G300" s="21">
        <f>INDEX(Data[],MATCH($A300,Data[Dist],0),MATCH(G$6,Data[#Headers],0))</f>
        <v>4618875</v>
      </c>
      <c r="H300" s="21">
        <f>INDEX(Data[],MATCH($A300,Data[Dist],0),MATCH(H$6,Data[#Headers],0))-G300</f>
        <v>0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922306</v>
      </c>
      <c r="L300" s="21">
        <f>INDEX(Notes!$I$2:$N$11,MATCH(Notes!$B$2,Notes!$I$2:$I$11,0),6)*$E300</f>
        <v>1383459</v>
      </c>
      <c r="M300" s="21">
        <f>IF(Notes!$B$2="June",'Payment Total'!$F300,0)</f>
        <v>461154</v>
      </c>
      <c r="N300" s="21">
        <f t="shared" si="16"/>
        <v>0</v>
      </c>
      <c r="P300" s="25" t="s">
        <v>1120</v>
      </c>
      <c r="Q300" s="25">
        <v>461154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557511</v>
      </c>
      <c r="E301" s="21">
        <f>INDEX(Data[],MATCH($A301,Data[Dist],0),MATCH(E$6,Data[#Headers],0))</f>
        <v>557511</v>
      </c>
      <c r="F301" s="21">
        <f>INDEX(Data[],MATCH($A301,Data[Dist],0),MATCH(F$6,Data[#Headers],0))</f>
        <v>557512</v>
      </c>
      <c r="G301" s="21">
        <f>INDEX(Data[],MATCH($A301,Data[Dist],0),MATCH(G$6,Data[#Headers],0))</f>
        <v>5587383</v>
      </c>
      <c r="H301" s="21">
        <f>INDEX(Data[],MATCH($A301,Data[Dist],0),MATCH(H$6,Data[#Headers],0))-G301</f>
        <v>0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1115022</v>
      </c>
      <c r="L301" s="21">
        <f>INDEX(Notes!$I$2:$N$11,MATCH(Notes!$B$2,Notes!$I$2:$I$11,0),6)*$E301</f>
        <v>1672533</v>
      </c>
      <c r="M301" s="21">
        <f>IF(Notes!$B$2="June",'Payment Total'!$F301,0)</f>
        <v>557512</v>
      </c>
      <c r="N301" s="21">
        <f t="shared" si="16"/>
        <v>0</v>
      </c>
      <c r="P301" s="25" t="s">
        <v>1121</v>
      </c>
      <c r="Q301" s="25">
        <v>557512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428425</v>
      </c>
      <c r="E302" s="21">
        <f>INDEX(Data[],MATCH($A302,Data[Dist],0),MATCH(E$6,Data[#Headers],0))</f>
        <v>428425</v>
      </c>
      <c r="F302" s="21">
        <f>INDEX(Data[],MATCH($A302,Data[Dist],0),MATCH(F$6,Data[#Headers],0))</f>
        <v>428426</v>
      </c>
      <c r="G302" s="21">
        <f>INDEX(Data[],MATCH($A302,Data[Dist],0),MATCH(G$6,Data[#Headers],0))</f>
        <v>4292207</v>
      </c>
      <c r="H302" s="21">
        <f>INDEX(Data[],MATCH($A302,Data[Dist],0),MATCH(H$6,Data[#Headers],0))-G302</f>
        <v>0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856850</v>
      </c>
      <c r="L302" s="21">
        <f>INDEX(Notes!$I$2:$N$11,MATCH(Notes!$B$2,Notes!$I$2:$I$11,0),6)*$E302</f>
        <v>1285275</v>
      </c>
      <c r="M302" s="21">
        <f>IF(Notes!$B$2="June",'Payment Total'!$F302,0)</f>
        <v>428426</v>
      </c>
      <c r="N302" s="21">
        <f>SUM(J302:M302)-G302</f>
        <v>0</v>
      </c>
      <c r="P302" s="25" t="s">
        <v>1122</v>
      </c>
      <c r="Q302" s="25">
        <v>428426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500472</v>
      </c>
      <c r="E303" s="21">
        <f>INDEX(Data[],MATCH($A303,Data[Dist],0),MATCH(E$6,Data[#Headers],0))</f>
        <v>500472</v>
      </c>
      <c r="F303" s="21">
        <f>INDEX(Data[],MATCH($A303,Data[Dist],0),MATCH(F$6,Data[#Headers],0))</f>
        <v>500471</v>
      </c>
      <c r="G303" s="21">
        <f>INDEX(Data[],MATCH($A303,Data[Dist],0),MATCH(G$6,Data[#Headers],0))</f>
        <v>5013627</v>
      </c>
      <c r="H303" s="21">
        <f>INDEX(Data[],MATCH($A303,Data[Dist],0),MATCH(H$6,Data[#Headers],0))-G303</f>
        <v>0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1000944</v>
      </c>
      <c r="L303" s="21">
        <f>INDEX(Notes!$I$2:$N$11,MATCH(Notes!$B$2,Notes!$I$2:$I$11,0),6)*$E303</f>
        <v>1501416</v>
      </c>
      <c r="M303" s="21">
        <f>IF(Notes!$B$2="June",'Payment Total'!$F303,0)</f>
        <v>500471</v>
      </c>
      <c r="N303" s="21">
        <f>SUM(J303:M303)-G303</f>
        <v>0</v>
      </c>
      <c r="P303" s="25" t="s">
        <v>1123</v>
      </c>
      <c r="Q303" s="25">
        <v>500471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1433312</v>
      </c>
      <c r="E304" s="21">
        <f>INDEX(Data[],MATCH($A304,Data[Dist],0),MATCH(E$6,Data[#Headers],0))</f>
        <v>1433312</v>
      </c>
      <c r="F304" s="21">
        <f>INDEX(Data[],MATCH($A304,Data[Dist],0),MATCH(F$6,Data[#Headers],0))</f>
        <v>1433312</v>
      </c>
      <c r="G304" s="21">
        <f>INDEX(Data[],MATCH($A304,Data[Dist],0),MATCH(G$6,Data[#Headers],0))</f>
        <v>14357596</v>
      </c>
      <c r="H304" s="21">
        <f>INDEX(Data[],MATCH($A304,Data[Dist],0),MATCH(H$6,Data[#Headers],0))-G304</f>
        <v>0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2866624</v>
      </c>
      <c r="L304" s="21">
        <f>INDEX(Notes!$I$2:$N$11,MATCH(Notes!$B$2,Notes!$I$2:$I$11,0),6)*$E304</f>
        <v>4299936</v>
      </c>
      <c r="M304" s="21">
        <f>IF(Notes!$B$2="June",'Payment Total'!$F304,0)</f>
        <v>1433312</v>
      </c>
      <c r="N304" s="21">
        <f t="shared" si="16"/>
        <v>0</v>
      </c>
      <c r="P304" s="25" t="s">
        <v>1124</v>
      </c>
      <c r="Q304" s="25">
        <v>1433312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10703045</v>
      </c>
      <c r="E305" s="21">
        <f>INDEX(Data[],MATCH($A305,Data[Dist],0),MATCH(E$6,Data[#Headers],0))</f>
        <v>10703045</v>
      </c>
      <c r="F305" s="21">
        <f>INDEX(Data[],MATCH($A305,Data[Dist],0),MATCH(F$6,Data[#Headers],0))</f>
        <v>10703043</v>
      </c>
      <c r="G305" s="21">
        <f>INDEX(Data[],MATCH($A305,Data[Dist],0),MATCH(G$6,Data[#Headers],0))</f>
        <v>107194816</v>
      </c>
      <c r="H305" s="21">
        <f>INDEX(Data[],MATCH($A305,Data[Dist],0),MATCH(H$6,Data[#Headers],0))-G305</f>
        <v>0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21406090</v>
      </c>
      <c r="L305" s="21">
        <f>INDEX(Notes!$I$2:$N$11,MATCH(Notes!$B$2,Notes!$I$2:$I$11,0),6)*$E305</f>
        <v>32109135</v>
      </c>
      <c r="M305" s="21">
        <f>IF(Notes!$B$2="June",'Payment Total'!$F305,0)</f>
        <v>10703043</v>
      </c>
      <c r="N305" s="21">
        <f t="shared" si="16"/>
        <v>0</v>
      </c>
      <c r="P305" s="25" t="s">
        <v>1125</v>
      </c>
      <c r="Q305" s="25">
        <v>10703043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10182657</v>
      </c>
      <c r="E306" s="21">
        <f>INDEX(Data[],MATCH($A306,Data[Dist],0),MATCH(E$6,Data[#Headers],0))</f>
        <v>10182658</v>
      </c>
      <c r="F306" s="21">
        <f>INDEX(Data[],MATCH($A306,Data[Dist],0),MATCH(F$6,Data[#Headers],0))</f>
        <v>10182656</v>
      </c>
      <c r="G306" s="21">
        <f>INDEX(Data[],MATCH($A306,Data[Dist],0),MATCH(G$6,Data[#Headers],0))</f>
        <v>102039648</v>
      </c>
      <c r="H306" s="21">
        <f>INDEX(Data[],MATCH($A306,Data[Dist],0),MATCH(H$6,Data[#Headers],0))-G306</f>
        <v>0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20365314</v>
      </c>
      <c r="L306" s="21">
        <f>INDEX(Notes!$I$2:$N$11,MATCH(Notes!$B$2,Notes!$I$2:$I$11,0),6)*$E306</f>
        <v>30547974</v>
      </c>
      <c r="M306" s="21">
        <f>IF(Notes!$B$2="June",'Payment Total'!$F306,0)</f>
        <v>10182656</v>
      </c>
      <c r="N306" s="21">
        <f t="shared" si="16"/>
        <v>0</v>
      </c>
      <c r="P306" s="25" t="s">
        <v>1126</v>
      </c>
      <c r="Q306" s="25">
        <v>10182656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1692966</v>
      </c>
      <c r="E307" s="21">
        <f>INDEX(Data[],MATCH($A307,Data[Dist],0),MATCH(E$6,Data[#Headers],0))</f>
        <v>1692965</v>
      </c>
      <c r="F307" s="21">
        <f>INDEX(Data[],MATCH($A307,Data[Dist],0),MATCH(F$6,Data[#Headers],0))</f>
        <v>1692966</v>
      </c>
      <c r="G307" s="21">
        <f>INDEX(Data[],MATCH($A307,Data[Dist],0),MATCH(G$6,Data[#Headers],0))</f>
        <v>16962605</v>
      </c>
      <c r="H307" s="21">
        <f>INDEX(Data[],MATCH($A307,Data[Dist],0),MATCH(H$6,Data[#Headers],0))-G307</f>
        <v>0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3385932</v>
      </c>
      <c r="L307" s="21">
        <f>INDEX(Notes!$I$2:$N$11,MATCH(Notes!$B$2,Notes!$I$2:$I$11,0),6)*$E307</f>
        <v>5078895</v>
      </c>
      <c r="M307" s="21">
        <f>IF(Notes!$B$2="June",'Payment Total'!$F307,0)</f>
        <v>1692966</v>
      </c>
      <c r="N307" s="21">
        <f t="shared" si="16"/>
        <v>0</v>
      </c>
      <c r="P307" s="25" t="s">
        <v>1127</v>
      </c>
      <c r="Q307" s="25">
        <v>1692966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422851</v>
      </c>
      <c r="E308" s="21">
        <f>INDEX(Data[],MATCH($A308,Data[Dist],0),MATCH(E$6,Data[#Headers],0))</f>
        <v>422851</v>
      </c>
      <c r="F308" s="21">
        <f>INDEX(Data[],MATCH($A308,Data[Dist],0),MATCH(F$6,Data[#Headers],0))</f>
        <v>422851</v>
      </c>
      <c r="G308" s="21">
        <f>INDEX(Data[],MATCH($A308,Data[Dist],0),MATCH(G$6,Data[#Headers],0))</f>
        <v>4236850</v>
      </c>
      <c r="H308" s="21">
        <f>INDEX(Data[],MATCH($A308,Data[Dist],0),MATCH(H$6,Data[#Headers],0))-G308</f>
        <v>0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845702</v>
      </c>
      <c r="L308" s="21">
        <f>INDEX(Notes!$I$2:$N$11,MATCH(Notes!$B$2,Notes!$I$2:$I$11,0),6)*$E308</f>
        <v>1268553</v>
      </c>
      <c r="M308" s="21">
        <f>IF(Notes!$B$2="June",'Payment Total'!$F308,0)</f>
        <v>422851</v>
      </c>
      <c r="N308" s="21">
        <f t="shared" si="16"/>
        <v>0</v>
      </c>
      <c r="P308" s="25" t="s">
        <v>1128</v>
      </c>
      <c r="Q308" s="25">
        <v>422851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1384269</v>
      </c>
      <c r="E309" s="21">
        <f>INDEX(Data[],MATCH($A309,Data[Dist],0),MATCH(E$6,Data[#Headers],0))</f>
        <v>1384270</v>
      </c>
      <c r="F309" s="21">
        <f>INDEX(Data[],MATCH($A309,Data[Dist],0),MATCH(F$6,Data[#Headers],0))</f>
        <v>1384268</v>
      </c>
      <c r="G309" s="21">
        <f>INDEX(Data[],MATCH($A309,Data[Dist],0),MATCH(G$6,Data[#Headers],0))</f>
        <v>13869224</v>
      </c>
      <c r="H309" s="21">
        <f>INDEX(Data[],MATCH($A309,Data[Dist],0),MATCH(H$6,Data[#Headers],0))-G309</f>
        <v>0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2768538</v>
      </c>
      <c r="L309" s="21">
        <f>INDEX(Notes!$I$2:$N$11,MATCH(Notes!$B$2,Notes!$I$2:$I$11,0),6)*$E309</f>
        <v>4152810</v>
      </c>
      <c r="M309" s="21">
        <f>IF(Notes!$B$2="June",'Payment Total'!$F309,0)</f>
        <v>1384268</v>
      </c>
      <c r="N309" s="21">
        <f t="shared" si="16"/>
        <v>0</v>
      </c>
      <c r="P309" s="25" t="s">
        <v>1129</v>
      </c>
      <c r="Q309" s="25">
        <v>1384268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217819</v>
      </c>
      <c r="E310" s="21">
        <f>INDEX(Data[],MATCH($A310,Data[Dist],0),MATCH(E$6,Data[#Headers],0))</f>
        <v>212621</v>
      </c>
      <c r="F310" s="21">
        <f>INDEX(Data[],MATCH($A310,Data[Dist],0),MATCH(F$6,Data[#Headers],0))</f>
        <v>212619</v>
      </c>
      <c r="G310" s="21">
        <f>INDEX(Data[],MATCH($A310,Data[Dist],0),MATCH(G$6,Data[#Headers],0))</f>
        <v>2162404</v>
      </c>
      <c r="H310" s="21">
        <f>INDEX(Data[],MATCH($A310,Data[Dist],0),MATCH(H$6,Data[#Headers],0))-G310</f>
        <v>0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435638</v>
      </c>
      <c r="L310" s="21">
        <f>INDEX(Notes!$I$2:$N$11,MATCH(Notes!$B$2,Notes!$I$2:$I$11,0),6)*$E310</f>
        <v>637863</v>
      </c>
      <c r="M310" s="21">
        <f>IF(Notes!$B$2="June",'Payment Total'!$F310,0)</f>
        <v>212619</v>
      </c>
      <c r="N310" s="21">
        <f t="shared" si="16"/>
        <v>0</v>
      </c>
      <c r="P310" s="25" t="s">
        <v>1130</v>
      </c>
      <c r="Q310" s="25">
        <v>212619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565596</v>
      </c>
      <c r="E311" s="21">
        <f>INDEX(Data[],MATCH($A311,Data[Dist],0),MATCH(E$6,Data[#Headers],0))</f>
        <v>565595</v>
      </c>
      <c r="F311" s="21">
        <f>INDEX(Data[],MATCH($A311,Data[Dist],0),MATCH(F$6,Data[#Headers],0))</f>
        <v>565596</v>
      </c>
      <c r="G311" s="21">
        <f>INDEX(Data[],MATCH($A311,Data[Dist],0),MATCH(G$6,Data[#Headers],0))</f>
        <v>5668057</v>
      </c>
      <c r="H311" s="21">
        <f>INDEX(Data[],MATCH($A311,Data[Dist],0),MATCH(H$6,Data[#Headers],0))-G311</f>
        <v>0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1131192</v>
      </c>
      <c r="L311" s="21">
        <f>INDEX(Notes!$I$2:$N$11,MATCH(Notes!$B$2,Notes!$I$2:$I$11,0),6)*$E311</f>
        <v>1696785</v>
      </c>
      <c r="M311" s="21">
        <f>IF(Notes!$B$2="June",'Payment Total'!$F311,0)</f>
        <v>565596</v>
      </c>
      <c r="N311" s="21">
        <f t="shared" si="16"/>
        <v>0</v>
      </c>
      <c r="P311" s="25" t="s">
        <v>1131</v>
      </c>
      <c r="Q311" s="25">
        <v>565596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328907</v>
      </c>
      <c r="E312" s="21">
        <f>INDEX(Data[],MATCH($A312,Data[Dist],0),MATCH(E$6,Data[#Headers],0))</f>
        <v>328908</v>
      </c>
      <c r="F312" s="21">
        <f>INDEX(Data[],MATCH($A312,Data[Dist],0),MATCH(F$6,Data[#Headers],0))</f>
        <v>328906</v>
      </c>
      <c r="G312" s="21">
        <f>INDEX(Data[],MATCH($A312,Data[Dist],0),MATCH(G$6,Data[#Headers],0))</f>
        <v>3294944</v>
      </c>
      <c r="H312" s="21">
        <f>INDEX(Data[],MATCH($A312,Data[Dist],0),MATCH(H$6,Data[#Headers],0))-G312</f>
        <v>0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657814</v>
      </c>
      <c r="L312" s="21">
        <f>INDEX(Notes!$I$2:$N$11,MATCH(Notes!$B$2,Notes!$I$2:$I$11,0),6)*$E312</f>
        <v>986724</v>
      </c>
      <c r="M312" s="21">
        <f>IF(Notes!$B$2="June",'Payment Total'!$F312,0)</f>
        <v>328906</v>
      </c>
      <c r="N312" s="21">
        <f t="shared" si="16"/>
        <v>0</v>
      </c>
      <c r="P312" s="25" t="s">
        <v>1132</v>
      </c>
      <c r="Q312" s="25">
        <v>328906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214074</v>
      </c>
      <c r="E313" s="21">
        <f>INDEX(Data[],MATCH($A313,Data[Dist],0),MATCH(E$6,Data[#Headers],0))</f>
        <v>214074</v>
      </c>
      <c r="F313" s="21">
        <f>INDEX(Data[],MATCH($A313,Data[Dist],0),MATCH(F$6,Data[#Headers],0))</f>
        <v>214073</v>
      </c>
      <c r="G313" s="21">
        <f>INDEX(Data[],MATCH($A313,Data[Dist],0),MATCH(G$6,Data[#Headers],0))</f>
        <v>2144775</v>
      </c>
      <c r="H313" s="21">
        <f>INDEX(Data[],MATCH($A313,Data[Dist],0),MATCH(H$6,Data[#Headers],0))-G313</f>
        <v>0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428148</v>
      </c>
      <c r="L313" s="21">
        <f>INDEX(Notes!$I$2:$N$11,MATCH(Notes!$B$2,Notes!$I$2:$I$11,0),6)*$E313</f>
        <v>642222</v>
      </c>
      <c r="M313" s="21">
        <f>IF(Notes!$B$2="June",'Payment Total'!$F313,0)</f>
        <v>214073</v>
      </c>
      <c r="N313" s="21">
        <f>SUM(J313:M313)-G313</f>
        <v>0</v>
      </c>
      <c r="P313" s="25" t="s">
        <v>1133</v>
      </c>
      <c r="Q313" s="25">
        <v>214073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963556</v>
      </c>
      <c r="E314" s="21">
        <f>INDEX(Data[],MATCH($A314,Data[Dist],0),MATCH(E$6,Data[#Headers],0))</f>
        <v>963555</v>
      </c>
      <c r="F314" s="21">
        <f>INDEX(Data[],MATCH($A314,Data[Dist],0),MATCH(F$6,Data[#Headers],0))</f>
        <v>963556</v>
      </c>
      <c r="G314" s="21">
        <f>INDEX(Data[],MATCH($A314,Data[Dist],0),MATCH(G$6,Data[#Headers],0))</f>
        <v>9655765</v>
      </c>
      <c r="H314" s="21">
        <f>INDEX(Data[],MATCH($A314,Data[Dist],0),MATCH(H$6,Data[#Headers],0))-G314</f>
        <v>0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1927112</v>
      </c>
      <c r="L314" s="21">
        <f>INDEX(Notes!$I$2:$N$11,MATCH(Notes!$B$2,Notes!$I$2:$I$11,0),6)*$E314</f>
        <v>2890665</v>
      </c>
      <c r="M314" s="21">
        <f>IF(Notes!$B$2="June",'Payment Total'!$F314,0)</f>
        <v>963556</v>
      </c>
      <c r="N314" s="21">
        <f t="shared" si="16"/>
        <v>0</v>
      </c>
      <c r="P314" s="25" t="s">
        <v>1134</v>
      </c>
      <c r="Q314" s="25">
        <v>963556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5647248</v>
      </c>
      <c r="E315" s="21">
        <f>INDEX(Data[],MATCH($A315,Data[Dist],0),MATCH(E$6,Data[#Headers],0))</f>
        <v>5647247</v>
      </c>
      <c r="F315" s="21">
        <f>INDEX(Data[],MATCH($A315,Data[Dist],0),MATCH(F$6,Data[#Headers],0))</f>
        <v>5647248</v>
      </c>
      <c r="G315" s="21">
        <f>INDEX(Data[],MATCH($A315,Data[Dist],0),MATCH(G$6,Data[#Headers],0))</f>
        <v>56602081</v>
      </c>
      <c r="H315" s="21">
        <f>INDEX(Data[],MATCH($A315,Data[Dist],0),MATCH(H$6,Data[#Headers],0))-G315</f>
        <v>0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11294496</v>
      </c>
      <c r="L315" s="21">
        <f>INDEX(Notes!$I$2:$N$11,MATCH(Notes!$B$2,Notes!$I$2:$I$11,0),6)*$E315</f>
        <v>16941741</v>
      </c>
      <c r="M315" s="21">
        <f>IF(Notes!$B$2="June",'Payment Total'!$F315,0)</f>
        <v>5647248</v>
      </c>
      <c r="N315" s="21">
        <f t="shared" si="16"/>
        <v>0</v>
      </c>
      <c r="P315" s="25" t="s">
        <v>1135</v>
      </c>
      <c r="Q315" s="25">
        <v>5647248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2368205</v>
      </c>
      <c r="E316" s="21">
        <f>INDEX(Data[],MATCH($A316,Data[Dist],0),MATCH(E$6,Data[#Headers],0))</f>
        <v>2368205</v>
      </c>
      <c r="F316" s="21">
        <f>INDEX(Data[],MATCH($A316,Data[Dist],0),MATCH(F$6,Data[#Headers],0))</f>
        <v>2368206</v>
      </c>
      <c r="G316" s="21">
        <f>INDEX(Data[],MATCH($A316,Data[Dist],0),MATCH(G$6,Data[#Headers],0))</f>
        <v>23730463</v>
      </c>
      <c r="H316" s="21">
        <f>INDEX(Data[],MATCH($A316,Data[Dist],0),MATCH(H$6,Data[#Headers],0))-G316</f>
        <v>0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4736410</v>
      </c>
      <c r="L316" s="21">
        <f>INDEX(Notes!$I$2:$N$11,MATCH(Notes!$B$2,Notes!$I$2:$I$11,0),6)*$E316</f>
        <v>7104615</v>
      </c>
      <c r="M316" s="21">
        <f>IF(Notes!$B$2="June",'Payment Total'!$F316,0)</f>
        <v>2368206</v>
      </c>
      <c r="N316" s="21">
        <f t="shared" si="16"/>
        <v>0</v>
      </c>
      <c r="P316" s="25" t="s">
        <v>1136</v>
      </c>
      <c r="Q316" s="25">
        <v>2368206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213956</v>
      </c>
      <c r="E317" s="21">
        <f>INDEX(Data[],MATCH($A317,Data[Dist],0),MATCH(E$6,Data[#Headers],0))</f>
        <v>213956</v>
      </c>
      <c r="F317" s="21">
        <f>INDEX(Data[],MATCH($A317,Data[Dist],0),MATCH(F$6,Data[#Headers],0))</f>
        <v>213957</v>
      </c>
      <c r="G317" s="21">
        <f>INDEX(Data[],MATCH($A317,Data[Dist],0),MATCH(G$6,Data[#Headers],0))</f>
        <v>2144653</v>
      </c>
      <c r="H317" s="21">
        <f>INDEX(Data[],MATCH($A317,Data[Dist],0),MATCH(H$6,Data[#Headers],0))-G317</f>
        <v>0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427912</v>
      </c>
      <c r="L317" s="21">
        <f>INDEX(Notes!$I$2:$N$11,MATCH(Notes!$B$2,Notes!$I$2:$I$11,0),6)*$E317</f>
        <v>641868</v>
      </c>
      <c r="M317" s="21">
        <f>IF(Notes!$B$2="June",'Payment Total'!$F317,0)</f>
        <v>213957</v>
      </c>
      <c r="N317" s="21">
        <f>SUM(J317:M317)-G317</f>
        <v>0</v>
      </c>
      <c r="P317" s="25" t="s">
        <v>1137</v>
      </c>
      <c r="Q317" s="25">
        <v>213957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1153799</v>
      </c>
      <c r="E318" s="21">
        <f>INDEX(Data[],MATCH($A318,Data[Dist],0),MATCH(E$6,Data[#Headers],0))</f>
        <v>1153800</v>
      </c>
      <c r="F318" s="21">
        <f>INDEX(Data[],MATCH($A318,Data[Dist],0),MATCH(F$6,Data[#Headers],0))</f>
        <v>1153798</v>
      </c>
      <c r="G318" s="21">
        <f>INDEX(Data[],MATCH($A318,Data[Dist],0),MATCH(G$6,Data[#Headers],0))</f>
        <v>11556784</v>
      </c>
      <c r="H318" s="21">
        <f>INDEX(Data[],MATCH($A318,Data[Dist],0),MATCH(H$6,Data[#Headers],0))-G318</f>
        <v>0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2307598</v>
      </c>
      <c r="L318" s="21">
        <f>INDEX(Notes!$I$2:$N$11,MATCH(Notes!$B$2,Notes!$I$2:$I$11,0),6)*$E318</f>
        <v>3461400</v>
      </c>
      <c r="M318" s="21">
        <f>IF(Notes!$B$2="June",'Payment Total'!$F318,0)</f>
        <v>1153798</v>
      </c>
      <c r="N318" s="21">
        <f t="shared" si="16"/>
        <v>0</v>
      </c>
      <c r="P318" s="25" t="s">
        <v>1138</v>
      </c>
      <c r="Q318" s="25">
        <v>1153798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638005</v>
      </c>
      <c r="E319" s="21">
        <f>INDEX(Data[],MATCH($A319,Data[Dist],0),MATCH(E$6,Data[#Headers],0))</f>
        <v>638005</v>
      </c>
      <c r="F319" s="21">
        <f>INDEX(Data[],MATCH($A319,Data[Dist],0),MATCH(F$6,Data[#Headers],0))</f>
        <v>638004</v>
      </c>
      <c r="G319" s="21">
        <f>INDEX(Data[],MATCH($A319,Data[Dist],0),MATCH(G$6,Data[#Headers],0))</f>
        <v>6394449</v>
      </c>
      <c r="H319" s="21">
        <f>INDEX(Data[],MATCH($A319,Data[Dist],0),MATCH(H$6,Data[#Headers],0))-G319</f>
        <v>0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1276010</v>
      </c>
      <c r="L319" s="21">
        <f>INDEX(Notes!$I$2:$N$11,MATCH(Notes!$B$2,Notes!$I$2:$I$11,0),6)*$E319</f>
        <v>1914015</v>
      </c>
      <c r="M319" s="21">
        <f>IF(Notes!$B$2="June",'Payment Total'!$F319,0)</f>
        <v>638004</v>
      </c>
      <c r="N319" s="21">
        <f t="shared" si="16"/>
        <v>0</v>
      </c>
      <c r="P319" s="25" t="s">
        <v>1139</v>
      </c>
      <c r="Q319" s="25">
        <v>638004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535746</v>
      </c>
      <c r="E320" s="21">
        <f>INDEX(Data[],MATCH($A320,Data[Dist],0),MATCH(E$6,Data[#Headers],0))</f>
        <v>535746</v>
      </c>
      <c r="F320" s="21">
        <f>INDEX(Data[],MATCH($A320,Data[Dist],0),MATCH(F$6,Data[#Headers],0))</f>
        <v>535746</v>
      </c>
      <c r="G320" s="21">
        <f>INDEX(Data[],MATCH($A320,Data[Dist],0),MATCH(G$6,Data[#Headers],0))</f>
        <v>5368548</v>
      </c>
      <c r="H320" s="21">
        <f>INDEX(Data[],MATCH($A320,Data[Dist],0),MATCH(H$6,Data[#Headers],0))-G320</f>
        <v>0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1071492</v>
      </c>
      <c r="L320" s="21">
        <f>INDEX(Notes!$I$2:$N$11,MATCH(Notes!$B$2,Notes!$I$2:$I$11,0),6)*$E320</f>
        <v>1607238</v>
      </c>
      <c r="M320" s="21">
        <f>IF(Notes!$B$2="June",'Payment Total'!$F320,0)</f>
        <v>535746</v>
      </c>
      <c r="N320" s="21">
        <f t="shared" si="16"/>
        <v>0</v>
      </c>
      <c r="P320" s="25" t="s">
        <v>1140</v>
      </c>
      <c r="Q320" s="25">
        <v>535746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423083</v>
      </c>
      <c r="E321" s="21">
        <f>INDEX(Data[],MATCH($A321,Data[Dist],0),MATCH(E$6,Data[#Headers],0))</f>
        <v>423083</v>
      </c>
      <c r="F321" s="21">
        <f>INDEX(Data[],MATCH($A321,Data[Dist],0),MATCH(F$6,Data[#Headers],0))</f>
        <v>423082</v>
      </c>
      <c r="G321" s="21">
        <f>INDEX(Data[],MATCH($A321,Data[Dist],0),MATCH(G$6,Data[#Headers],0))</f>
        <v>4239525</v>
      </c>
      <c r="H321" s="21">
        <f>INDEX(Data[],MATCH($A321,Data[Dist],0),MATCH(H$6,Data[#Headers],0))-G321</f>
        <v>0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846166</v>
      </c>
      <c r="L321" s="21">
        <f>INDEX(Notes!$I$2:$N$11,MATCH(Notes!$B$2,Notes!$I$2:$I$11,0),6)*$E321</f>
        <v>1269249</v>
      </c>
      <c r="M321" s="21">
        <f>IF(Notes!$B$2="June",'Payment Total'!$F321,0)</f>
        <v>423082</v>
      </c>
      <c r="N321" s="21">
        <f t="shared" si="16"/>
        <v>0</v>
      </c>
      <c r="P321" s="25" t="s">
        <v>1141</v>
      </c>
      <c r="Q321" s="25">
        <v>423082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678204</v>
      </c>
      <c r="E322" s="21">
        <f>INDEX(Data[],MATCH($A322,Data[Dist],0),MATCH(E$6,Data[#Headers],0))</f>
        <v>678203</v>
      </c>
      <c r="F322" s="21">
        <f>INDEX(Data[],MATCH($A322,Data[Dist],0),MATCH(F$6,Data[#Headers],0))</f>
        <v>678204</v>
      </c>
      <c r="G322" s="21">
        <f>INDEX(Data[],MATCH($A322,Data[Dist],0),MATCH(G$6,Data[#Headers],0))</f>
        <v>6793181</v>
      </c>
      <c r="H322" s="21">
        <f>INDEX(Data[],MATCH($A322,Data[Dist],0),MATCH(H$6,Data[#Headers],0))-G322</f>
        <v>0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1356408</v>
      </c>
      <c r="L322" s="21">
        <f>INDEX(Notes!$I$2:$N$11,MATCH(Notes!$B$2,Notes!$I$2:$I$11,0),6)*$E322</f>
        <v>2034609</v>
      </c>
      <c r="M322" s="21">
        <f>IF(Notes!$B$2="June",'Payment Total'!$F322,0)</f>
        <v>678204</v>
      </c>
      <c r="N322" s="21">
        <f t="shared" si="16"/>
        <v>0</v>
      </c>
      <c r="P322" s="25" t="s">
        <v>1142</v>
      </c>
      <c r="Q322" s="25">
        <v>678204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295797</v>
      </c>
      <c r="E323" s="21">
        <f>INDEX(Data[],MATCH($A323,Data[Dist],0),MATCH(E$6,Data[#Headers],0))</f>
        <v>295797</v>
      </c>
      <c r="F323" s="21">
        <f>INDEX(Data[],MATCH($A323,Data[Dist],0),MATCH(F$6,Data[#Headers],0))</f>
        <v>295795</v>
      </c>
      <c r="G323" s="21">
        <f>INDEX(Data[],MATCH($A323,Data[Dist],0),MATCH(G$6,Data[#Headers],0))</f>
        <v>2965552</v>
      </c>
      <c r="H323" s="21">
        <f>INDEX(Data[],MATCH($A323,Data[Dist],0),MATCH(H$6,Data[#Headers],0))-G323</f>
        <v>0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591594</v>
      </c>
      <c r="L323" s="21">
        <f>INDEX(Notes!$I$2:$N$11,MATCH(Notes!$B$2,Notes!$I$2:$I$11,0),6)*$E323</f>
        <v>887391</v>
      </c>
      <c r="M323" s="21">
        <f>IF(Notes!$B$2="June",'Payment Total'!$F323,0)</f>
        <v>295795</v>
      </c>
      <c r="N323" s="21">
        <f t="shared" si="16"/>
        <v>0</v>
      </c>
      <c r="P323" s="25" t="s">
        <v>1143</v>
      </c>
      <c r="Q323" s="25">
        <v>295795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120908</v>
      </c>
      <c r="E324" s="21">
        <f>INDEX(Data[],MATCH($A324,Data[Dist],0),MATCH(E$6,Data[#Headers],0))</f>
        <v>120908</v>
      </c>
      <c r="F324" s="21">
        <f>INDEX(Data[],MATCH($A324,Data[Dist],0),MATCH(F$6,Data[#Headers],0))</f>
        <v>120909</v>
      </c>
      <c r="G324" s="21">
        <f>INDEX(Data[],MATCH($A324,Data[Dist],0),MATCH(G$6,Data[#Headers],0))</f>
        <v>1211693</v>
      </c>
      <c r="H324" s="21">
        <f>INDEX(Data[],MATCH($A324,Data[Dist],0),MATCH(H$6,Data[#Headers],0))-G324</f>
        <v>0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241816</v>
      </c>
      <c r="L324" s="21">
        <f>INDEX(Notes!$I$2:$N$11,MATCH(Notes!$B$2,Notes!$I$2:$I$11,0),6)*$E324</f>
        <v>362724</v>
      </c>
      <c r="M324" s="21">
        <f>IF(Notes!$B$2="June",'Payment Total'!$F324,0)</f>
        <v>120909</v>
      </c>
      <c r="N324" s="21">
        <f t="shared" si="16"/>
        <v>0</v>
      </c>
      <c r="P324" s="25" t="s">
        <v>1144</v>
      </c>
      <c r="Q324" s="25">
        <v>120909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847313</v>
      </c>
      <c r="E325" s="21">
        <f>INDEX(Data[],MATCH($A325,Data[Dist],0),MATCH(E$6,Data[#Headers],0))</f>
        <v>847313</v>
      </c>
      <c r="F325" s="21">
        <f>INDEX(Data[],MATCH($A325,Data[Dist],0),MATCH(F$6,Data[#Headers],0))</f>
        <v>847311</v>
      </c>
      <c r="G325" s="21">
        <f>INDEX(Data[],MATCH($A325,Data[Dist],0),MATCH(G$6,Data[#Headers],0))</f>
        <v>8489920</v>
      </c>
      <c r="H325" s="21">
        <f>INDEX(Data[],MATCH($A325,Data[Dist],0),MATCH(H$6,Data[#Headers],0))-G325</f>
        <v>0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1694626</v>
      </c>
      <c r="L325" s="21">
        <f>INDEX(Notes!$I$2:$N$11,MATCH(Notes!$B$2,Notes!$I$2:$I$11,0),6)*$E325</f>
        <v>2541939</v>
      </c>
      <c r="M325" s="21">
        <f>IF(Notes!$B$2="June",'Payment Total'!$F325,0)</f>
        <v>847311</v>
      </c>
      <c r="N325" s="21">
        <f t="shared" si="16"/>
        <v>0</v>
      </c>
      <c r="P325" s="25" t="s">
        <v>1145</v>
      </c>
      <c r="Q325" s="25">
        <v>847311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676025</v>
      </c>
      <c r="E326" s="21">
        <f>INDEX(Data[],MATCH($A326,Data[Dist],0),MATCH(E$6,Data[#Headers],0))</f>
        <v>676025</v>
      </c>
      <c r="F326" s="21">
        <f>INDEX(Data[],MATCH($A326,Data[Dist],0),MATCH(F$6,Data[#Headers],0))</f>
        <v>676024</v>
      </c>
      <c r="G326" s="21">
        <f>INDEX(Data[],MATCH($A326,Data[Dist],0),MATCH(G$6,Data[#Headers],0))</f>
        <v>6772645</v>
      </c>
      <c r="H326" s="21">
        <f>INDEX(Data[],MATCH($A326,Data[Dist],0),MATCH(H$6,Data[#Headers],0))-G326</f>
        <v>0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1352050</v>
      </c>
      <c r="L326" s="21">
        <f>INDEX(Notes!$I$2:$N$11,MATCH(Notes!$B$2,Notes!$I$2:$I$11,0),6)*$E326</f>
        <v>2028075</v>
      </c>
      <c r="M326" s="21">
        <f>IF(Notes!$B$2="June",'Payment Total'!$F326,0)</f>
        <v>676024</v>
      </c>
      <c r="N326" s="21">
        <f t="shared" si="16"/>
        <v>0</v>
      </c>
      <c r="P326" s="25" t="s">
        <v>1146</v>
      </c>
      <c r="Q326" s="25">
        <v>676024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262118</v>
      </c>
      <c r="E327" s="21">
        <f>INDEX(Data[],MATCH($A327,Data[Dist],0),MATCH(E$6,Data[#Headers],0))</f>
        <v>234405</v>
      </c>
      <c r="F327" s="21">
        <f>INDEX(Data[],MATCH($A327,Data[Dist],0),MATCH(F$6,Data[#Headers],0))</f>
        <v>234405</v>
      </c>
      <c r="G327" s="21">
        <f>INDEX(Data[],MATCH($A327,Data[Dist],0),MATCH(G$6,Data[#Headers],0))</f>
        <v>2514928</v>
      </c>
      <c r="H327" s="21">
        <f>INDEX(Data[],MATCH($A327,Data[Dist],0),MATCH(H$6,Data[#Headers],0))-G327</f>
        <v>0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524236</v>
      </c>
      <c r="L327" s="21">
        <f>INDEX(Notes!$I$2:$N$11,MATCH(Notes!$B$2,Notes!$I$2:$I$11,0),6)*$E327</f>
        <v>703215</v>
      </c>
      <c r="M327" s="21">
        <f>IF(Notes!$B$2="June",'Payment Total'!$F327,0)</f>
        <v>234405</v>
      </c>
      <c r="N327" s="21">
        <f t="shared" si="16"/>
        <v>0</v>
      </c>
      <c r="P327" s="25" t="s">
        <v>1147</v>
      </c>
      <c r="Q327" s="25">
        <v>234405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1305872</v>
      </c>
      <c r="E328" s="21">
        <f>INDEX(Data[],MATCH($A328,Data[Dist],0),MATCH(E$6,Data[#Headers],0))</f>
        <v>1305871</v>
      </c>
      <c r="F328" s="21">
        <f>INDEX(Data[],MATCH($A328,Data[Dist],0),MATCH(F$6,Data[#Headers],0))</f>
        <v>1305872</v>
      </c>
      <c r="G328" s="21">
        <f>INDEX(Data[],MATCH($A328,Data[Dist],0),MATCH(G$6,Data[#Headers],0))</f>
        <v>13083733</v>
      </c>
      <c r="H328" s="21">
        <f>INDEX(Data[],MATCH($A328,Data[Dist],0),MATCH(H$6,Data[#Headers],0))-G328</f>
        <v>0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2611744</v>
      </c>
      <c r="L328" s="21">
        <f>INDEX(Notes!$I$2:$N$11,MATCH(Notes!$B$2,Notes!$I$2:$I$11,0),6)*$E328</f>
        <v>3917613</v>
      </c>
      <c r="M328" s="21">
        <f>IF(Notes!$B$2="June",'Payment Total'!$F328,0)</f>
        <v>1305872</v>
      </c>
      <c r="N328" s="21">
        <f t="shared" ref="N328:N331" si="20">SUM(J328:M328)-G328</f>
        <v>0</v>
      </c>
      <c r="P328" s="25" t="s">
        <v>1148</v>
      </c>
      <c r="Q328" s="25">
        <v>1305872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INDEX($A$7:$H$331,MATCH($S328,$A$7:$A$331,0),6)-Q328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418622</v>
      </c>
      <c r="E329" s="21">
        <f>INDEX(Data[],MATCH($A329,Data[Dist],0),MATCH(E$6,Data[#Headers],0))</f>
        <v>418622</v>
      </c>
      <c r="F329" s="21">
        <f>INDEX(Data[],MATCH($A329,Data[Dist],0),MATCH(F$6,Data[#Headers],0))</f>
        <v>418623</v>
      </c>
      <c r="G329" s="21">
        <f>INDEX(Data[],MATCH($A329,Data[Dist],0),MATCH(G$6,Data[#Headers],0))</f>
        <v>4194013</v>
      </c>
      <c r="H329" s="21">
        <f>INDEX(Data[],MATCH($A329,Data[Dist],0),MATCH(H$6,Data[#Headers],0))-G329</f>
        <v>0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837244</v>
      </c>
      <c r="L329" s="21">
        <f>INDEX(Notes!$I$2:$N$11,MATCH(Notes!$B$2,Notes!$I$2:$I$11,0),6)*$E329</f>
        <v>1255866</v>
      </c>
      <c r="M329" s="21">
        <f>IF(Notes!$B$2="June",'Payment Total'!$F329,0)</f>
        <v>418623</v>
      </c>
      <c r="N329" s="21">
        <f t="shared" si="20"/>
        <v>0</v>
      </c>
      <c r="P329" s="25" t="s">
        <v>1149</v>
      </c>
      <c r="Q329" s="25">
        <v>418623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429898</v>
      </c>
      <c r="E330" s="21">
        <f>INDEX(Data[],MATCH($A330,Data[Dist],0),MATCH(E$6,Data[#Headers],0))</f>
        <v>429898</v>
      </c>
      <c r="F330" s="21">
        <f>INDEX(Data[],MATCH($A330,Data[Dist],0),MATCH(F$6,Data[#Headers],0))</f>
        <v>429898</v>
      </c>
      <c r="G330" s="21">
        <f>INDEX(Data[],MATCH($A330,Data[Dist],0),MATCH(G$6,Data[#Headers],0))</f>
        <v>4306820</v>
      </c>
      <c r="H330" s="21">
        <f>INDEX(Data[],MATCH($A330,Data[Dist],0),MATCH(H$6,Data[#Headers],0))-G330</f>
        <v>0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859796</v>
      </c>
      <c r="L330" s="21">
        <f>INDEX(Notes!$I$2:$N$11,MATCH(Notes!$B$2,Notes!$I$2:$I$11,0),6)*$E330</f>
        <v>1289694</v>
      </c>
      <c r="M330" s="21">
        <f>IF(Notes!$B$2="June",'Payment Total'!$F330,0)</f>
        <v>429898</v>
      </c>
      <c r="N330" s="21">
        <f t="shared" si="20"/>
        <v>0</v>
      </c>
      <c r="P330" s="25" t="s">
        <v>1150</v>
      </c>
      <c r="Q330" s="25">
        <v>429898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892598</v>
      </c>
      <c r="E331" s="21">
        <f>INDEX(Data[],MATCH($A331,Data[Dist],0),MATCH(E$6,Data[#Headers],0))</f>
        <v>892597</v>
      </c>
      <c r="F331" s="21">
        <f>INDEX(Data[],MATCH($A331,Data[Dist],0),MATCH(F$6,Data[#Headers],0))</f>
        <v>892598</v>
      </c>
      <c r="G331" s="21">
        <f>INDEX(Data[],MATCH($A331,Data[Dist],0),MATCH(G$6,Data[#Headers],0))</f>
        <v>8942793</v>
      </c>
      <c r="H331" s="21">
        <f>INDEX(Data[],MATCH($A331,Data[Dist],0),MATCH(H$6,Data[#Headers],0))-G331</f>
        <v>0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1785196</v>
      </c>
      <c r="L331" s="21">
        <f>INDEX(Notes!$I$2:$N$11,MATCH(Notes!$B$2,Notes!$I$2:$I$11,0),6)*$E331</f>
        <v>2677791</v>
      </c>
      <c r="M331" s="21">
        <f>IF(Notes!$B$2="June",'Payment Total'!$F331,0)</f>
        <v>892598</v>
      </c>
      <c r="N331" s="21">
        <f t="shared" si="20"/>
        <v>0</v>
      </c>
      <c r="P331" s="25" t="s">
        <v>1151</v>
      </c>
      <c r="Q331" s="25">
        <v>892598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390353064</v>
      </c>
      <c r="E332" s="23">
        <f t="shared" si="24"/>
        <v>390149097</v>
      </c>
      <c r="F332" s="23">
        <f t="shared" si="24"/>
        <v>390148952</v>
      </c>
      <c r="G332" s="23">
        <f t="shared" si="24"/>
        <v>3910021543</v>
      </c>
      <c r="H332" s="23">
        <f t="shared" si="24"/>
        <v>0</v>
      </c>
      <c r="Q332" s="20">
        <f>SUM(Q7:Q331)</f>
        <v>390148952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1" t="str">
        <f>CONCATENATE("FY ",Notes!$B$1," Budget for State Payments to School Districts (",Notes!$B$2," by Source)")</f>
        <v>FY 2026 Budget for State Payments to School Districts (June by Source)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M1" s="57"/>
      <c r="N1" s="282" t="s">
        <v>789</v>
      </c>
      <c r="O1" s="282"/>
      <c r="P1" s="282"/>
      <c r="Q1" s="282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2"/>
      <c r="O2" s="282"/>
      <c r="P2" s="282"/>
      <c r="Q2" s="282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2"/>
      <c r="O3" s="282"/>
      <c r="P3" s="282"/>
      <c r="Q3" s="282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2"/>
      <c r="O4" s="282"/>
      <c r="P4" s="282"/>
      <c r="Q4" s="282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t="92.25" hidden="1" customHeight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276" t="str">
        <f>'AEA Funding and Payments'!$R$4</f>
        <v>Monthly State Aid Portion of 90% Payment 
June
 to Pay to AEA
Included in State Aid Payment</v>
      </c>
      <c r="I5" s="276" t="s">
        <v>1196</v>
      </c>
      <c r="J5" s="50"/>
      <c r="K5" s="51" t="str">
        <f>CONCATENATE(Notes!$B$2," Payment")</f>
        <v>June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71208</v>
      </c>
      <c r="E6" s="221">
        <f>IF(Notes!$B$2="June",ROUND('Budget by Source'!E6/10,0)+T6,ROUND('Budget by Source'!E6/10,0))</f>
        <v>5079</v>
      </c>
      <c r="F6" s="221">
        <f>IF(Notes!$B$2="June",ROUND('Budget by Source'!F6/10,0)+U6,ROUND('Budget by Source'!F6/10,0))</f>
        <v>5601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14936</v>
      </c>
      <c r="I6" s="221">
        <f>IF(Notes!$B$2="June",INDEX('AEA Funding and Payments'!$A$8:$AI$332,MATCH('Payment by Source'!$A6,'AEA Funding and Payments'!$A$8:$A$332,0),34),
ROUND(INDEX('AEA Funding and Payments'!$A$8:$T$332,MATCH('Payment by Source'!$A6,'AEA Funding and Payments'!$A$8:$A$332,0),MATCH(I$5,'AEA Funding and Payments'!$A$4:$T$4,0))/10,0))</f>
        <v>2380</v>
      </c>
      <c r="J6" s="221">
        <f>K6-SUM(C6:I6)</f>
        <v>316430</v>
      </c>
      <c r="K6" s="221">
        <f>INDEX(Data[],MATCH($A6,Data[Dist],0),MATCH(K$5,Data[#Headers],0))</f>
        <v>457423</v>
      </c>
      <c r="M6" s="59">
        <f>INDEX('Payment Total'!$A$7:$H$331,MATCH('Payment by Source'!$A6,'Payment Total'!$A$7:$A$331,0),6)-K6</f>
        <v>0</v>
      </c>
      <c r="O6" s="263">
        <f t="shared" ref="O6:O10" si="0">SUM(C6:J6)-K6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3175031</v>
      </c>
      <c r="X6" s="136">
        <f>ROUND(W6/10,0)</f>
        <v>317503</v>
      </c>
      <c r="Y6" s="136">
        <f>X6*10</f>
        <v>3175030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6758</v>
      </c>
      <c r="D7" s="221">
        <f>IF(Notes!$B$2="June",ROUND('Budget by Source'!D7/10,0)+S7,ROUND('Budget by Source'!D7/10,0))</f>
        <v>42541</v>
      </c>
      <c r="E7" s="221">
        <f>IF(Notes!$B$2="June",ROUND('Budget by Source'!E7/10,0)+T7,ROUND('Budget by Source'!E7/10,0))</f>
        <v>2423</v>
      </c>
      <c r="F7" s="221">
        <f>IF(Notes!$B$2="June",ROUND('Budget by Source'!F7/10,0)+U7,ROUND('Budget by Source'!F7/10,0))</f>
        <v>2198</v>
      </c>
      <c r="G7" s="221">
        <f>IF(Notes!$B$2="June",ROUND('Budget by Source'!G7/10,0)+V7,ROUND('Budget by Source'!G7/10,0))</f>
        <v>11335</v>
      </c>
      <c r="H7" s="221">
        <f>INDEX('AEA Funding and Payments'!$A$8:$T$332,MATCH('Payment by Source'!$A7,'AEA Funding and Payments'!$A$8:$A$332,0),MATCH(H$5,'AEA Funding and Payments'!$A$4:$T$4,0))</f>
        <v>6278</v>
      </c>
      <c r="I7" s="221">
        <f>IF(Notes!$B$2="June",INDEX('AEA Funding and Payments'!$A$8:$AI$332,MATCH('Payment by Source'!$A7,'AEA Funding and Payments'!$A$8:$A$332,0),34),
ROUND(INDEX('AEA Funding and Payments'!$A$8:$T$332,MATCH('Payment by Source'!$A7,'AEA Funding and Payments'!$A$8:$A$332,0),MATCH(I$5,'AEA Funding and Payments'!$A$4:$T$4,0))/10,0))</f>
        <v>962</v>
      </c>
      <c r="J7" s="221">
        <f t="shared" ref="J7:J70" si="1">K7-SUM(C7:I7)</f>
        <v>157289</v>
      </c>
      <c r="K7" s="221">
        <f>INDEX(Data[],MATCH($A7,Data[Dist],0),MATCH(K$5,Data[#Headers],0))</f>
        <v>229784</v>
      </c>
      <c r="M7" s="59">
        <f>INDEX('Payment Total'!$A$7:$H$331,MATCH('Payment by Source'!$A7,'Payment Total'!$A$7:$A$331,0),6)-K7</f>
        <v>0</v>
      </c>
      <c r="O7" s="263">
        <f t="shared" si="0"/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1577268</v>
      </c>
      <c r="X7" s="136">
        <f t="shared" ref="X7:X70" si="2">ROUND(W7/10,0)</f>
        <v>157727</v>
      </c>
      <c r="Y7" s="136">
        <f t="shared" ref="Y7:Y70" si="3">X7*10</f>
        <v>1577270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21874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17460</v>
      </c>
      <c r="F8" s="221">
        <f>IF(Notes!$B$2="June",ROUND('Budget by Source'!F8/10,0)+U8,ROUND('Budget by Source'!F8/10,0))</f>
        <v>16667</v>
      </c>
      <c r="G8" s="221">
        <f>IF(Notes!$B$2="June",ROUND('Budget by Source'!G8/10,0)+V8,ROUND('Budget by Source'!G8/10,0))</f>
        <v>84728</v>
      </c>
      <c r="H8" s="221">
        <f>INDEX('AEA Funding and Payments'!$A$8:$T$332,MATCH('Payment by Source'!$A8,'AEA Funding and Payments'!$A$8:$A$332,0),MATCH(H$5,'AEA Funding and Payments'!$A$4:$T$4,0))</f>
        <v>45836</v>
      </c>
      <c r="I8" s="221">
        <f>IF(Notes!$B$2="June",INDEX('AEA Funding and Payments'!$A$8:$AI$332,MATCH('Payment by Source'!$A8,'AEA Funding and Payments'!$A$8:$A$332,0),34),
ROUND(INDEX('AEA Funding and Payments'!$A$8:$T$332,MATCH('Payment by Source'!$A8,'AEA Funding and Payments'!$A$8:$A$332,0),MATCH(I$5,'AEA Funding and Payments'!$A$4:$T$4,0))/10,0))</f>
        <v>6853</v>
      </c>
      <c r="J8" s="221">
        <f t="shared" si="1"/>
        <v>1389325</v>
      </c>
      <c r="K8" s="221">
        <f>INDEX(Data[],MATCH($A8,Data[Dist],0),MATCH(K$5,Data[#Headers],0))</f>
        <v>1763956</v>
      </c>
      <c r="M8" s="59">
        <f>INDEX('Payment Total'!$A$7:$H$331,MATCH('Payment by Source'!$A8,'Payment Total'!$A$7:$A$331,0),6)-K8</f>
        <v>0</v>
      </c>
      <c r="O8" s="263">
        <f t="shared" si="0"/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13926173</v>
      </c>
      <c r="X8" s="136">
        <f t="shared" si="2"/>
        <v>1392617</v>
      </c>
      <c r="Y8" s="136">
        <f t="shared" si="3"/>
        <v>13926170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6363</v>
      </c>
      <c r="D9" s="221">
        <f>IF(Notes!$B$2="June",ROUND('Budget by Source'!D9/10,0)+S9,ROUND('Budget by Source'!D9/10,0))</f>
        <v>59021</v>
      </c>
      <c r="E9" s="221">
        <f>IF(Notes!$B$2="June",ROUND('Budget by Source'!E9/10,0)+T9,ROUND('Budget by Source'!E9/10,0))</f>
        <v>4370</v>
      </c>
      <c r="F9" s="221">
        <f>IF(Notes!$B$2="June",ROUND('Budget by Source'!F9/10,0)+U9,ROUND('Budget by Source'!F9/10,0))</f>
        <v>4449</v>
      </c>
      <c r="G9" s="221">
        <f>IF(Notes!$B$2="June",ROUND('Budget by Source'!G9/10,0)+V9,ROUND('Budget by Source'!G9/10,0))</f>
        <v>20632</v>
      </c>
      <c r="H9" s="221">
        <f>INDEX('AEA Funding and Payments'!$A$8:$T$332,MATCH('Payment by Source'!$A9,'AEA Funding and Payments'!$A$8:$A$332,0),MATCH(H$5,'AEA Funding and Payments'!$A$4:$T$4,0))</f>
        <v>11255</v>
      </c>
      <c r="I9" s="221">
        <f>IF(Notes!$B$2="June",INDEX('AEA Funding and Payments'!$A$8:$AI$332,MATCH('Payment by Source'!$A9,'AEA Funding and Payments'!$A$8:$A$332,0),34),
ROUND(INDEX('AEA Funding and Payments'!$A$8:$T$332,MATCH('Payment by Source'!$A9,'AEA Funding and Payments'!$A$8:$A$332,0),MATCH(I$5,'AEA Funding and Payments'!$A$4:$T$4,0))/10,0))</f>
        <v>1800</v>
      </c>
      <c r="J9" s="221">
        <f t="shared" si="1"/>
        <v>313349</v>
      </c>
      <c r="K9" s="221">
        <f>INDEX(Data[],MATCH($A9,Data[Dist],0),MATCH(K$5,Data[#Headers],0))</f>
        <v>421239</v>
      </c>
      <c r="M9" s="59">
        <f>INDEX('Payment Total'!$A$7:$H$331,MATCH('Payment by Source'!$A9,'Payment Total'!$A$7:$A$331,0),6)-K9</f>
        <v>0</v>
      </c>
      <c r="O9" s="263">
        <f t="shared" si="0"/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3141582</v>
      </c>
      <c r="X9" s="136">
        <f t="shared" si="2"/>
        <v>314158</v>
      </c>
      <c r="Y9" s="136">
        <f t="shared" si="3"/>
        <v>3141580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3181</v>
      </c>
      <c r="D10" s="221">
        <f>IF(Notes!$B$2="June",ROUND('Budget by Source'!D10/10,0)+S10,ROUND('Budget by Source'!D10/10,0))</f>
        <v>27322</v>
      </c>
      <c r="E10" s="221">
        <f>IF(Notes!$B$2="June",ROUND('Budget by Source'!E10/10,0)+T10,ROUND('Budget by Source'!E10/10,0))</f>
        <v>1216</v>
      </c>
      <c r="F10" s="221">
        <f>IF(Notes!$B$2="June",ROUND('Budget by Source'!F10/10,0)+U10,ROUND('Budget by Source'!F10/10,0))</f>
        <v>1155</v>
      </c>
      <c r="G10" s="221">
        <f>IF(Notes!$B$2="June",ROUND('Budget by Source'!G10/10,0)+V10,ROUND('Budget by Source'!G10/10,0))</f>
        <v>8220</v>
      </c>
      <c r="H10" s="221">
        <f>INDEX('AEA Funding and Payments'!$A$8:$T$332,MATCH('Payment by Source'!$A10,'AEA Funding and Payments'!$A$8:$A$332,0),MATCH(H$5,'AEA Funding and Payments'!$A$4:$T$4,0))</f>
        <v>4303</v>
      </c>
      <c r="I10" s="221">
        <f>IF(Notes!$B$2="June",INDEX('AEA Funding and Payments'!$A$8:$AI$332,MATCH('Payment by Source'!$A10,'AEA Funding and Payments'!$A$8:$A$332,0),34),
ROUND(INDEX('AEA Funding and Payments'!$A$8:$T$332,MATCH('Payment by Source'!$A10,'AEA Funding and Payments'!$A$8:$A$332,0),MATCH(I$5,'AEA Funding and Payments'!$A$4:$T$4,0))/10,0))</f>
        <v>692</v>
      </c>
      <c r="J10" s="221">
        <f t="shared" si="1"/>
        <v>80013</v>
      </c>
      <c r="K10" s="221">
        <f>INDEX(Data[],MATCH($A10,Data[Dist],0),MATCH(K$5,Data[#Headers],0))</f>
        <v>126102</v>
      </c>
      <c r="M10" s="59">
        <f>INDEX('Payment Total'!$A$7:$H$331,MATCH('Payment by Source'!$A10,'Payment Total'!$A$7:$A$331,0),6)-K10</f>
        <v>0</v>
      </c>
      <c r="O10" s="263">
        <f t="shared" si="0"/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803311</v>
      </c>
      <c r="X10" s="136">
        <f t="shared" si="2"/>
        <v>80331</v>
      </c>
      <c r="Y10" s="136">
        <f t="shared" si="3"/>
        <v>803310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23464</v>
      </c>
      <c r="D11" s="221">
        <f>IF(Notes!$B$2="June",ROUND('Budget by Source'!D11/10,0)+S11,ROUND('Budget by Source'!D11/10,0))</f>
        <v>91803</v>
      </c>
      <c r="E11" s="221">
        <f>IF(Notes!$B$2="June",ROUND('Budget by Source'!E11/10,0)+T11,ROUND('Budget by Source'!E11/10,0))</f>
        <v>8283</v>
      </c>
      <c r="F11" s="221">
        <f>IF(Notes!$B$2="June",ROUND('Budget by Source'!F11/10,0)+U11,ROUND('Budget by Source'!F11/10,0))</f>
        <v>8396</v>
      </c>
      <c r="G11" s="221">
        <f>IF(Notes!$B$2="June",ROUND('Budget by Source'!G11/10,0)+V11,ROUND('Budget by Source'!G11/10,0))</f>
        <v>41799</v>
      </c>
      <c r="H11" s="221">
        <f>INDEX('AEA Funding and Payments'!$A$8:$T$332,MATCH('Payment by Source'!$A11,'AEA Funding and Payments'!$A$8:$A$332,0),MATCH(H$5,'AEA Funding and Payments'!$A$4:$T$4,0))</f>
        <v>22797</v>
      </c>
      <c r="I11" s="221">
        <f>IF(Notes!$B$2="June",INDEX('AEA Funding and Payments'!$A$8:$AI$332,MATCH('Payment by Source'!$A11,'AEA Funding and Payments'!$A$8:$A$332,0),34),
ROUND(INDEX('AEA Funding and Payments'!$A$8:$T$332,MATCH('Payment by Source'!$A11,'AEA Funding and Payments'!$A$8:$A$332,0),MATCH(I$5,'AEA Funding and Payments'!$A$4:$T$4,0))/10,0))</f>
        <v>3486</v>
      </c>
      <c r="J11" s="221">
        <f t="shared" si="1"/>
        <v>721280</v>
      </c>
      <c r="K11" s="221">
        <f>INDEX(Data[],MATCH($A11,Data[Dist],0),MATCH(K$5,Data[#Headers],0))</f>
        <v>921308</v>
      </c>
      <c r="M11" s="59">
        <f>INDEX('Payment Total'!$A$7:$H$331,MATCH('Payment by Source'!$A11,'Payment Total'!$A$7:$A$331,0),6)-K11</f>
        <v>0</v>
      </c>
      <c r="O11" s="263">
        <f t="shared" ref="O11:O74" si="4">SUM(C11:J11)-K11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7229178</v>
      </c>
      <c r="X11" s="136">
        <f t="shared" si="2"/>
        <v>722918</v>
      </c>
      <c r="Y11" s="136">
        <f t="shared" si="3"/>
        <v>7229180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15907</v>
      </c>
      <c r="D12" s="221">
        <f>IF(Notes!$B$2="June",ROUND('Budget by Source'!D12/10,0)+S12,ROUND('Budget by Source'!D12/10,0))</f>
        <v>63458</v>
      </c>
      <c r="E12" s="221">
        <f>IF(Notes!$B$2="June",ROUND('Budget by Source'!E12/10,0)+T12,ROUND('Budget by Source'!E12/10,0))</f>
        <v>3867</v>
      </c>
      <c r="F12" s="221">
        <f>IF(Notes!$B$2="June",ROUND('Budget by Source'!F12/10,0)+U12,ROUND('Budget by Source'!F12/10,0))</f>
        <v>4430</v>
      </c>
      <c r="G12" s="221">
        <f>IF(Notes!$B$2="June",ROUND('Budget by Source'!G12/10,0)+V12,ROUND('Budget by Source'!G12/10,0))</f>
        <v>21445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IF(Notes!$B$2="June",INDEX('AEA Funding and Payments'!$A$8:$AI$332,MATCH('Payment by Source'!$A12,'AEA Funding and Payments'!$A$8:$A$332,0),34),
ROUND(INDEX('AEA Funding and Payments'!$A$8:$T$332,MATCH('Payment by Source'!$A12,'AEA Funding and Payments'!$A$8:$A$332,0),MATCH(I$5,'AEA Funding and Payments'!$A$4:$T$4,0))/10,0))</f>
        <v>1695</v>
      </c>
      <c r="J12" s="221">
        <f t="shared" si="1"/>
        <v>285518</v>
      </c>
      <c r="K12" s="221">
        <f>INDEX(Data[],MATCH($A12,Data[Dist],0),MATCH(K$5,Data[#Headers],0))</f>
        <v>407332</v>
      </c>
      <c r="M12" s="59">
        <f>INDEX('Payment Total'!$A$7:$H$331,MATCH('Payment by Source'!$A12,'Payment Total'!$A$7:$A$331,0),6)-K12</f>
        <v>0</v>
      </c>
      <c r="O12" s="263">
        <f t="shared" si="4"/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2863414</v>
      </c>
      <c r="X12" s="136">
        <f t="shared" si="2"/>
        <v>286341</v>
      </c>
      <c r="Y12" s="136">
        <f t="shared" si="3"/>
        <v>2863410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4772</v>
      </c>
      <c r="D13" s="221">
        <f>IF(Notes!$B$2="June",ROUND('Budget by Source'!D13/10,0)+S13,ROUND('Budget by Source'!D13/10,0))</f>
        <v>37109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1862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4972</v>
      </c>
      <c r="I13" s="221">
        <f>IF(Notes!$B$2="June",INDEX('AEA Funding and Payments'!$A$8:$AI$332,MATCH('Payment by Source'!$A13,'AEA Funding and Payments'!$A$8:$A$332,0),34),
ROUND(INDEX('AEA Funding and Payments'!$A$8:$T$332,MATCH('Payment by Source'!$A13,'AEA Funding and Payments'!$A$8:$A$332,0),MATCH(I$5,'AEA Funding and Payments'!$A$4:$T$4,0))/10,0))</f>
        <v>843</v>
      </c>
      <c r="J13" s="221">
        <f t="shared" si="1"/>
        <v>121182</v>
      </c>
      <c r="K13" s="221">
        <f>INDEX(Data[],MATCH($A13,Data[Dist],0),MATCH(K$5,Data[#Headers],0))</f>
        <v>183205</v>
      </c>
      <c r="M13" s="59">
        <f>INDEX('Payment Total'!$A$7:$H$331,MATCH('Payment by Source'!$A13,'Payment Total'!$A$7:$A$331,0),6)-K13</f>
        <v>0</v>
      </c>
      <c r="O13" s="263">
        <f t="shared" si="4"/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1215740</v>
      </c>
      <c r="X13" s="136">
        <f t="shared" si="2"/>
        <v>121574</v>
      </c>
      <c r="Y13" s="136">
        <f t="shared" si="3"/>
        <v>1215740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46929</v>
      </c>
      <c r="D14" s="221">
        <f>IF(Notes!$B$2="June",ROUND('Budget by Source'!D14/10,0)+S14,ROUND('Budget by Source'!D14/10,0))</f>
        <v>133302</v>
      </c>
      <c r="E14" s="221">
        <f>IF(Notes!$B$2="June",ROUND('Budget by Source'!E14/10,0)+T14,ROUND('Budget by Source'!E14/10,0))</f>
        <v>11839</v>
      </c>
      <c r="F14" s="221">
        <f>IF(Notes!$B$2="June",ROUND('Budget by Source'!F14/10,0)+U14,ROUND('Budget by Source'!F14/10,0))</f>
        <v>14037</v>
      </c>
      <c r="G14" s="221">
        <f>IF(Notes!$B$2="June",ROUND('Budget by Source'!G14/10,0)+V14,ROUND('Budget by Source'!G14/10,0))</f>
        <v>65274</v>
      </c>
      <c r="H14" s="221">
        <f>INDEX('AEA Funding and Payments'!$A$8:$T$332,MATCH('Payment by Source'!$A14,'AEA Funding and Payments'!$A$8:$A$332,0),MATCH(H$5,'AEA Funding and Payments'!$A$4:$T$4,0))</f>
        <v>30549</v>
      </c>
      <c r="I14" s="221">
        <f>IF(Notes!$B$2="June",INDEX('AEA Funding and Payments'!$A$8:$AI$332,MATCH('Payment by Source'!$A14,'AEA Funding and Payments'!$A$8:$A$332,0),34),
ROUND(INDEX('AEA Funding and Payments'!$A$8:$T$332,MATCH('Payment by Source'!$A14,'AEA Funding and Payments'!$A$8:$A$332,0),MATCH(I$5,'AEA Funding and Payments'!$A$4:$T$4,0))/10,0))</f>
        <v>4902</v>
      </c>
      <c r="J14" s="221">
        <f t="shared" si="1"/>
        <v>672936</v>
      </c>
      <c r="K14" s="221">
        <f>INDEX(Data[],MATCH($A14,Data[Dist],0),MATCH(K$5,Data[#Headers],0))</f>
        <v>979768</v>
      </c>
      <c r="M14" s="59">
        <f>INDEX('Payment Total'!$A$7:$H$331,MATCH('Payment by Source'!$A14,'Payment Total'!$A$7:$A$331,0),6)-K14</f>
        <v>0</v>
      </c>
      <c r="O14" s="263">
        <f t="shared" si="4"/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6751162</v>
      </c>
      <c r="X14" s="136">
        <f t="shared" si="2"/>
        <v>675116</v>
      </c>
      <c r="Y14" s="136">
        <f t="shared" si="3"/>
        <v>6751160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29827</v>
      </c>
      <c r="D15" s="221">
        <f>IF(Notes!$B$2="June",ROUND('Budget by Source'!D15/10,0)+S15,ROUND('Budget by Source'!D15/10,0))</f>
        <v>114442</v>
      </c>
      <c r="E15" s="221">
        <f>IF(Notes!$B$2="June",ROUND('Budget by Source'!E15/10,0)+T15,ROUND('Budget by Source'!E15/10,0))</f>
        <v>9857</v>
      </c>
      <c r="F15" s="221">
        <f>IF(Notes!$B$2="June",ROUND('Budget by Source'!F15/10,0)+U15,ROUND('Budget by Source'!F15/10,0))</f>
        <v>8978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23772</v>
      </c>
      <c r="I15" s="221">
        <f>IF(Notes!$B$2="June",INDEX('AEA Funding and Payments'!$A$8:$AI$332,MATCH('Payment by Source'!$A15,'AEA Funding and Payments'!$A$8:$A$332,0),34),
ROUND(INDEX('AEA Funding and Payments'!$A$8:$T$332,MATCH('Payment by Source'!$A15,'AEA Funding and Payments'!$A$8:$A$332,0),MATCH(I$5,'AEA Funding and Payments'!$A$4:$T$4,0))/10,0))</f>
        <v>3875</v>
      </c>
      <c r="J15" s="221">
        <f t="shared" si="1"/>
        <v>613053</v>
      </c>
      <c r="K15" s="221">
        <f>INDEX(Data[],MATCH($A15,Data[Dist],0),MATCH(K$5,Data[#Headers],0))</f>
        <v>851684</v>
      </c>
      <c r="M15" s="59">
        <f>INDEX('Payment Total'!$A$7:$H$331,MATCH('Payment by Source'!$A15,'Payment Total'!$A$7:$A$331,0),6)-K15</f>
        <v>0</v>
      </c>
      <c r="O15" s="263">
        <f t="shared" si="4"/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6147280</v>
      </c>
      <c r="X15" s="136">
        <f t="shared" si="2"/>
        <v>614728</v>
      </c>
      <c r="Y15" s="136">
        <f t="shared" si="3"/>
        <v>6147280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59003</v>
      </c>
      <c r="E16" s="221">
        <f>IF(Notes!$B$2="June",ROUND('Budget by Source'!E16/10,0)+T16,ROUND('Budget by Source'!E16/10,0))</f>
        <v>3962</v>
      </c>
      <c r="F16" s="221">
        <f>IF(Notes!$B$2="June",ROUND('Budget by Source'!F16/10,0)+U16,ROUND('Budget by Source'!F16/10,0))</f>
        <v>4534</v>
      </c>
      <c r="G16" s="221">
        <f>IF(Notes!$B$2="June",ROUND('Budget by Source'!G16/10,0)+V16,ROUND('Budget by Source'!G16/10,0))</f>
        <v>20335</v>
      </c>
      <c r="H16" s="221">
        <f>INDEX('AEA Funding and Payments'!$A$8:$T$332,MATCH('Payment by Source'!$A16,'AEA Funding and Payments'!$A$8:$A$332,0),MATCH(H$5,'AEA Funding and Payments'!$A$4:$T$4,0))</f>
        <v>11412</v>
      </c>
      <c r="I16" s="221">
        <f>IF(Notes!$B$2="June",INDEX('AEA Funding and Payments'!$A$8:$AI$332,MATCH('Payment by Source'!$A16,'AEA Funding and Payments'!$A$8:$A$332,0),34),
ROUND(INDEX('AEA Funding and Payments'!$A$8:$T$332,MATCH('Payment by Source'!$A16,'AEA Funding and Payments'!$A$8:$A$332,0),MATCH(I$5,'AEA Funding and Payments'!$A$4:$T$4,0))/10,0))</f>
        <v>1781</v>
      </c>
      <c r="J16" s="221">
        <f t="shared" si="1"/>
        <v>290528</v>
      </c>
      <c r="K16" s="221">
        <f>INDEX(Data[],MATCH($A16,Data[Dist],0),MATCH(K$5,Data[#Headers],0))</f>
        <v>402294</v>
      </c>
      <c r="M16" s="59">
        <f>INDEX('Payment Total'!$A$7:$H$331,MATCH('Payment by Source'!$A16,'Payment Total'!$A$7:$A$331,0),6)-K16</f>
        <v>0</v>
      </c>
      <c r="O16" s="263">
        <f t="shared" si="4"/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2913048</v>
      </c>
      <c r="X16" s="136">
        <f t="shared" si="2"/>
        <v>291305</v>
      </c>
      <c r="Y16" s="136">
        <f t="shared" si="3"/>
        <v>2913050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15893</v>
      </c>
      <c r="D17" s="221">
        <f>IF(Notes!$B$2="June",ROUND('Budget by Source'!D17/10,0)+S17,ROUND('Budget by Source'!D17/10,0))</f>
        <v>97417</v>
      </c>
      <c r="E17" s="221">
        <f>IF(Notes!$B$2="June",ROUND('Budget by Source'!E17/10,0)+T17,ROUND('Budget by Source'!E17/10,0))</f>
        <v>7867</v>
      </c>
      <c r="F17" s="221">
        <f>IF(Notes!$B$2="June",ROUND('Budget by Source'!F17/10,0)+U17,ROUND('Budget by Source'!F17/10,0))</f>
        <v>7364</v>
      </c>
      <c r="G17" s="221">
        <f>IF(Notes!$B$2="June",ROUND('Budget by Source'!G17/10,0)+V17,ROUND('Budget by Source'!G17/10,0))</f>
        <v>33469</v>
      </c>
      <c r="H17" s="221">
        <f>INDEX('AEA Funding and Payments'!$A$8:$T$332,MATCH('Payment by Source'!$A17,'AEA Funding and Payments'!$A$8:$A$332,0),MATCH(H$5,'AEA Funding and Payments'!$A$4:$T$4,0))</f>
        <v>17406</v>
      </c>
      <c r="I17" s="221">
        <f>IF(Notes!$B$2="June",INDEX('AEA Funding and Payments'!$A$8:$AI$332,MATCH('Payment by Source'!$A17,'AEA Funding and Payments'!$A$8:$A$332,0),34),
ROUND(INDEX('AEA Funding and Payments'!$A$8:$T$332,MATCH('Payment by Source'!$A17,'AEA Funding and Payments'!$A$8:$A$332,0),MATCH(I$5,'AEA Funding and Payments'!$A$4:$T$4,0))/10,0))</f>
        <v>2792</v>
      </c>
      <c r="J17" s="221">
        <f t="shared" si="1"/>
        <v>416335</v>
      </c>
      <c r="K17" s="221">
        <f>INDEX(Data[],MATCH($A17,Data[Dist],0),MATCH(K$5,Data[#Headers],0))</f>
        <v>598543</v>
      </c>
      <c r="M17" s="59">
        <f>INDEX('Payment Total'!$A$7:$H$331,MATCH('Payment by Source'!$A17,'Payment Total'!$A$7:$A$331,0),6)-K17</f>
        <v>0</v>
      </c>
      <c r="O17" s="263">
        <f t="shared" si="4"/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4176436</v>
      </c>
      <c r="X17" s="136">
        <f t="shared" si="2"/>
        <v>417644</v>
      </c>
      <c r="Y17" s="136">
        <f t="shared" si="3"/>
        <v>4176440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94658</v>
      </c>
      <c r="D18" s="221">
        <f>IF(Notes!$B$2="June",ROUND('Budget by Source'!D18/10,0)+S18,ROUND('Budget by Source'!D18/10,0))</f>
        <v>345950</v>
      </c>
      <c r="E18" s="221">
        <f>IF(Notes!$B$2="June",ROUND('Budget by Source'!E18/10,0)+T18,ROUND('Budget by Source'!E18/10,0))</f>
        <v>36048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179546</v>
      </c>
      <c r="H18" s="221">
        <f>INDEX('AEA Funding and Payments'!$A$8:$T$332,MATCH('Payment by Source'!$A18,'AEA Funding and Payments'!$A$8:$A$332,0),MATCH(H$5,'AEA Funding and Payments'!$A$4:$T$4,0))</f>
        <v>97798</v>
      </c>
      <c r="I18" s="221">
        <f>IF(Notes!$B$2="June",INDEX('AEA Funding and Payments'!$A$8:$AI$332,MATCH('Payment by Source'!$A18,'AEA Funding and Payments'!$A$8:$A$332,0),34),
ROUND(INDEX('AEA Funding and Payments'!$A$8:$T$332,MATCH('Payment by Source'!$A18,'AEA Funding and Payments'!$A$8:$A$332,0),MATCH(I$5,'AEA Funding and Payments'!$A$4:$T$4,0))/10,0))</f>
        <v>14611</v>
      </c>
      <c r="J18" s="221">
        <f t="shared" si="1"/>
        <v>2053992</v>
      </c>
      <c r="K18" s="221">
        <f>INDEX(Data[],MATCH($A18,Data[Dist],0),MATCH(K$5,Data[#Headers],0))</f>
        <v>2861281</v>
      </c>
      <c r="M18" s="59">
        <f>INDEX('Payment Total'!$A$7:$H$331,MATCH('Payment by Source'!$A18,'Payment Total'!$A$7:$A$331,0),6)-K18</f>
        <v>0</v>
      </c>
      <c r="O18" s="263">
        <f t="shared" si="4"/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20608799</v>
      </c>
      <c r="X18" s="136">
        <f t="shared" si="2"/>
        <v>2060880</v>
      </c>
      <c r="Y18" s="136">
        <f t="shared" si="3"/>
        <v>20608800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22269</v>
      </c>
      <c r="D19" s="221">
        <f>IF(Notes!$B$2="June",ROUND('Budget by Source'!D19/10,0)+S19,ROUND('Budget by Source'!D19/10,0))</f>
        <v>131451</v>
      </c>
      <c r="E19" s="221">
        <f>IF(Notes!$B$2="June",ROUND('Budget by Source'!E19/10,0)+T19,ROUND('Budget by Source'!E19/10,0))</f>
        <v>9620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48497</v>
      </c>
      <c r="H19" s="221">
        <f>INDEX('AEA Funding and Payments'!$A$8:$T$332,MATCH('Payment by Source'!$A19,'AEA Funding and Payments'!$A$8:$A$332,0),MATCH(H$5,'AEA Funding and Payments'!$A$4:$T$4,0))</f>
        <v>24583</v>
      </c>
      <c r="I19" s="221">
        <f>IF(Notes!$B$2="June",INDEX('AEA Funding and Payments'!$A$8:$AI$332,MATCH('Payment by Source'!$A19,'AEA Funding and Payments'!$A$8:$A$332,0),34),
ROUND(INDEX('AEA Funding and Payments'!$A$8:$T$332,MATCH('Payment by Source'!$A19,'AEA Funding and Payments'!$A$8:$A$332,0),MATCH(I$5,'AEA Funding and Payments'!$A$4:$T$4,0))/10,0))</f>
        <v>3964</v>
      </c>
      <c r="J19" s="221">
        <f t="shared" si="1"/>
        <v>708670</v>
      </c>
      <c r="K19" s="221">
        <f>INDEX(Data[],MATCH($A19,Data[Dist],0),MATCH(K$5,Data[#Headers],0))</f>
        <v>959662</v>
      </c>
      <c r="M19" s="59">
        <f>INDEX('Payment Total'!$A$7:$H$331,MATCH('Payment by Source'!$A19,'Payment Total'!$A$7:$A$331,0),6)-K19</f>
        <v>0</v>
      </c>
      <c r="O19" s="263">
        <f t="shared" si="4"/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7104976</v>
      </c>
      <c r="X19" s="136">
        <f t="shared" si="2"/>
        <v>710498</v>
      </c>
      <c r="Y19" s="136">
        <f t="shared" si="3"/>
        <v>7104980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3181</v>
      </c>
      <c r="D20" s="221">
        <f>IF(Notes!$B$2="June",ROUND('Budget by Source'!D20/10,0)+S20,ROUND('Budget by Source'!D20/10,0))</f>
        <v>31755</v>
      </c>
      <c r="E20" s="221">
        <f>IF(Notes!$B$2="June",ROUND('Budget by Source'!E20/10,0)+T20,ROUND('Budget by Source'!E20/10,0))</f>
        <v>2187</v>
      </c>
      <c r="F20" s="221">
        <f>IF(Notes!$B$2="June",ROUND('Budget by Source'!F20/10,0)+U20,ROUND('Budget by Source'!F20/10,0))</f>
        <v>1923</v>
      </c>
      <c r="G20" s="221">
        <f>IF(Notes!$B$2="June",ROUND('Budget by Source'!G20/10,0)+V20,ROUND('Budget by Source'!G20/10,0))</f>
        <v>9177</v>
      </c>
      <c r="H20" s="221">
        <f>INDEX('AEA Funding and Payments'!$A$8:$T$332,MATCH('Payment by Source'!$A20,'AEA Funding and Payments'!$A$8:$A$332,0),MATCH(H$5,'AEA Funding and Payments'!$A$4:$T$4,0))</f>
        <v>4572</v>
      </c>
      <c r="I20" s="221">
        <f>IF(Notes!$B$2="June",INDEX('AEA Funding and Payments'!$A$8:$AI$332,MATCH('Payment by Source'!$A20,'AEA Funding and Payments'!$A$8:$A$332,0),34),
ROUND(INDEX('AEA Funding and Payments'!$A$8:$T$332,MATCH('Payment by Source'!$A20,'AEA Funding and Payments'!$A$8:$A$332,0),MATCH(I$5,'AEA Funding and Payments'!$A$4:$T$4,0))/10,0))</f>
        <v>790</v>
      </c>
      <c r="J20" s="221">
        <f t="shared" si="1"/>
        <v>124076</v>
      </c>
      <c r="K20" s="221">
        <f>INDEX(Data[],MATCH($A20,Data[Dist],0),MATCH(K$5,Data[#Headers],0))</f>
        <v>177661</v>
      </c>
      <c r="M20" s="59">
        <f>INDEX('Payment Total'!$A$7:$H$331,MATCH('Payment by Source'!$A20,'Payment Total'!$A$7:$A$331,0),6)-K20</f>
        <v>0</v>
      </c>
      <c r="O20" s="263">
        <f t="shared" si="4"/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1244075</v>
      </c>
      <c r="X20" s="136">
        <f t="shared" si="2"/>
        <v>124408</v>
      </c>
      <c r="Y20" s="136">
        <f t="shared" si="3"/>
        <v>1244080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105002</v>
      </c>
      <c r="D21" s="221">
        <f>IF(Notes!$B$2="June",ROUND('Budget by Source'!D21/10,0)+S21,ROUND('Budget by Source'!D21/10,0))</f>
        <v>966329</v>
      </c>
      <c r="E21" s="221">
        <f>IF(Notes!$B$2="June",ROUND('Budget by Source'!E21/10,0)+T21,ROUND('Budget by Source'!E21/10,0))</f>
        <v>100042</v>
      </c>
      <c r="F21" s="221">
        <f>IF(Notes!$B$2="June",ROUND('Budget by Source'!F21/10,0)+U21,ROUND('Budget by Source'!F21/10,0))</f>
        <v>94788</v>
      </c>
      <c r="G21" s="221">
        <f>IF(Notes!$B$2="June",ROUND('Budget by Source'!G21/10,0)+V21,ROUND('Budget by Source'!G21/10,0))</f>
        <v>521287</v>
      </c>
      <c r="H21" s="221">
        <f>INDEX('AEA Funding and Payments'!$A$8:$T$332,MATCH('Payment by Source'!$A21,'AEA Funding and Payments'!$A$8:$A$332,0),MATCH(H$5,'AEA Funding and Payments'!$A$4:$T$4,0))</f>
        <v>267473</v>
      </c>
      <c r="I21" s="221">
        <f>IF(Notes!$B$2="June",INDEX('AEA Funding and Payments'!$A$8:$AI$332,MATCH('Payment by Source'!$A21,'AEA Funding and Payments'!$A$8:$A$332,0),34),
ROUND(INDEX('AEA Funding and Payments'!$A$8:$T$332,MATCH('Payment by Source'!$A21,'AEA Funding and Payments'!$A$8:$A$332,0),MATCH(I$5,'AEA Funding and Payments'!$A$4:$T$4,0))/10,0))</f>
        <v>39965</v>
      </c>
      <c r="J21" s="221">
        <f t="shared" si="1"/>
        <v>7371357</v>
      </c>
      <c r="K21" s="221">
        <f>INDEX(Data[],MATCH($A21,Data[Dist],0),MATCH(K$5,Data[#Headers],0))</f>
        <v>9466243</v>
      </c>
      <c r="M21" s="59">
        <f>INDEX('Payment Total'!$A$7:$H$331,MATCH('Payment by Source'!$A21,'Payment Total'!$A$7:$A$331,0),6)-K21</f>
        <v>0</v>
      </c>
      <c r="O21" s="263">
        <f t="shared" si="4"/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73907473</v>
      </c>
      <c r="X21" s="136">
        <f t="shared" si="2"/>
        <v>7390747</v>
      </c>
      <c r="Y21" s="136">
        <f t="shared" si="3"/>
        <v>73907470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19088</v>
      </c>
      <c r="D22" s="221">
        <f>IF(Notes!$B$2="June",ROUND('Budget by Source'!D22/10,0)+S22,ROUND('Budget by Source'!D22/10,0))</f>
        <v>83020</v>
      </c>
      <c r="E22" s="221">
        <f>IF(Notes!$B$2="June",ROUND('Budget by Source'!E22/10,0)+T22,ROUND('Budget by Source'!E22/10,0))</f>
        <v>7555</v>
      </c>
      <c r="F22" s="221">
        <f>IF(Notes!$B$2="June",ROUND('Budget by Source'!F22/10,0)+U22,ROUND('Budget by Source'!F22/10,0))</f>
        <v>6504</v>
      </c>
      <c r="G22" s="221">
        <f>IF(Notes!$B$2="June",ROUND('Budget by Source'!G22/10,0)+V22,ROUND('Budget by Source'!G22/10,0))</f>
        <v>31528</v>
      </c>
      <c r="H22" s="221">
        <f>INDEX('AEA Funding and Payments'!$A$8:$T$332,MATCH('Payment by Source'!$A22,'AEA Funding and Payments'!$A$8:$A$332,0),MATCH(H$5,'AEA Funding and Payments'!$A$4:$T$4,0))</f>
        <v>17095</v>
      </c>
      <c r="I22" s="221">
        <f>IF(Notes!$B$2="June",INDEX('AEA Funding and Payments'!$A$8:$AI$332,MATCH('Payment by Source'!$A22,'AEA Funding and Payments'!$A$8:$A$332,0),34),
ROUND(INDEX('AEA Funding and Payments'!$A$8:$T$332,MATCH('Payment by Source'!$A22,'AEA Funding and Payments'!$A$8:$A$332,0),MATCH(I$5,'AEA Funding and Payments'!$A$4:$T$4,0))/10,0))</f>
        <v>2677</v>
      </c>
      <c r="J22" s="221">
        <f t="shared" si="1"/>
        <v>495302</v>
      </c>
      <c r="K22" s="221">
        <f>INDEX(Data[],MATCH($A22,Data[Dist],0),MATCH(K$5,Data[#Headers],0))</f>
        <v>662769</v>
      </c>
      <c r="M22" s="59">
        <f>INDEX('Payment Total'!$A$7:$H$331,MATCH('Payment by Source'!$A22,'Payment Total'!$A$7:$A$331,0),6)-K22</f>
        <v>0</v>
      </c>
      <c r="O22" s="263">
        <f t="shared" si="4"/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4965011</v>
      </c>
      <c r="X22" s="136">
        <f t="shared" si="2"/>
        <v>496501</v>
      </c>
      <c r="Y22" s="136">
        <f t="shared" si="3"/>
        <v>4965010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5572</v>
      </c>
      <c r="D23" s="221">
        <f>IF(Notes!$B$2="June",ROUND('Budget by Source'!D23/10,0)+S23,ROUND('Budget by Source'!D23/10,0))</f>
        <v>52950</v>
      </c>
      <c r="E23" s="221">
        <f>IF(Notes!$B$2="June",ROUND('Budget by Source'!E23/10,0)+T23,ROUND('Budget by Source'!E23/10,0))</f>
        <v>3822</v>
      </c>
      <c r="F23" s="221">
        <f>IF(Notes!$B$2="June",ROUND('Budget by Source'!F23/10,0)+U23,ROUND('Budget by Source'!F23/10,0))</f>
        <v>3544</v>
      </c>
      <c r="G23" s="221">
        <f>IF(Notes!$B$2="June",ROUND('Budget by Source'!G23/10,0)+V23,ROUND('Budget by Source'!G23/10,0))</f>
        <v>15486</v>
      </c>
      <c r="H23" s="221">
        <f>INDEX('AEA Funding and Payments'!$A$8:$T$332,MATCH('Payment by Source'!$A23,'AEA Funding and Payments'!$A$8:$A$332,0),MATCH(H$5,'AEA Funding and Payments'!$A$4:$T$4,0))</f>
        <v>8065</v>
      </c>
      <c r="I23" s="221">
        <f>IF(Notes!$B$2="June",INDEX('AEA Funding and Payments'!$A$8:$AI$332,MATCH('Payment by Source'!$A23,'AEA Funding and Payments'!$A$8:$A$332,0),34),
ROUND(INDEX('AEA Funding and Payments'!$A$8:$T$332,MATCH('Payment by Source'!$A23,'AEA Funding and Payments'!$A$8:$A$332,0),MATCH(I$5,'AEA Funding and Payments'!$A$4:$T$4,0))/10,0))</f>
        <v>1444</v>
      </c>
      <c r="J23" s="221">
        <f t="shared" si="1"/>
        <v>112137</v>
      </c>
      <c r="K23" s="221">
        <f>INDEX(Data[],MATCH($A23,Data[Dist],0),MATCH(K$5,Data[#Headers],0))</f>
        <v>203020</v>
      </c>
      <c r="M23" s="59">
        <f>INDEX('Payment Total'!$A$7:$H$331,MATCH('Payment by Source'!$A23,'Payment Total'!$A$7:$A$331,0),6)-K23</f>
        <v>0</v>
      </c>
      <c r="O23" s="263">
        <f t="shared" si="4"/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1127383</v>
      </c>
      <c r="X23" s="136">
        <f t="shared" si="2"/>
        <v>112738</v>
      </c>
      <c r="Y23" s="136">
        <f t="shared" si="3"/>
        <v>1127380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6758</v>
      </c>
      <c r="D24" s="221">
        <f>IF(Notes!$B$2="June",ROUND('Budget by Source'!D24/10,0)+S24,ROUND('Budget by Source'!D24/10,0))</f>
        <v>43131</v>
      </c>
      <c r="E24" s="221">
        <f>IF(Notes!$B$2="June",ROUND('Budget by Source'!E24/10,0)+T24,ROUND('Budget by Source'!E24/10,0))</f>
        <v>2509</v>
      </c>
      <c r="F24" s="221">
        <f>IF(Notes!$B$2="June",ROUND('Budget by Source'!F24/10,0)+U24,ROUND('Budget by Source'!F24/10,0))</f>
        <v>2420</v>
      </c>
      <c r="G24" s="221">
        <f>IF(Notes!$B$2="June",ROUND('Budget by Source'!G24/10,0)+V24,ROUND('Budget by Source'!G24/10,0))</f>
        <v>13048</v>
      </c>
      <c r="H24" s="221">
        <f>INDEX('AEA Funding and Payments'!$A$8:$T$332,MATCH('Payment by Source'!$A24,'AEA Funding and Payments'!$A$8:$A$332,0),MATCH(H$5,'AEA Funding and Payments'!$A$4:$T$4,0))</f>
        <v>5841</v>
      </c>
      <c r="I24" s="221">
        <f>IF(Notes!$B$2="June",INDEX('AEA Funding and Payments'!$A$8:$AI$332,MATCH('Payment by Source'!$A24,'AEA Funding and Payments'!$A$8:$A$332,0),34),
ROUND(INDEX('AEA Funding and Payments'!$A$8:$T$332,MATCH('Payment by Source'!$A24,'AEA Funding and Payments'!$A$8:$A$332,0),MATCH(I$5,'AEA Funding and Payments'!$A$4:$T$4,0))/10,0))</f>
        <v>984</v>
      </c>
      <c r="J24" s="221">
        <f t="shared" si="1"/>
        <v>87190</v>
      </c>
      <c r="K24" s="221">
        <f>INDEX(Data[],MATCH($A24,Data[Dist],0),MATCH(K$5,Data[#Headers],0))</f>
        <v>161881</v>
      </c>
      <c r="M24" s="59">
        <f>INDEX('Payment Total'!$A$7:$H$331,MATCH('Payment by Source'!$A24,'Payment Total'!$A$7:$A$331,0),6)-K24</f>
        <v>0</v>
      </c>
      <c r="O24" s="263">
        <f t="shared" si="4"/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876193</v>
      </c>
      <c r="X24" s="136">
        <f t="shared" si="2"/>
        <v>87619</v>
      </c>
      <c r="Y24" s="136">
        <f t="shared" si="3"/>
        <v>876190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31430</v>
      </c>
      <c r="D25" s="221">
        <f>IF(Notes!$B$2="June",ROUND('Budget by Source'!D25/10,0)+S25,ROUND('Budget by Source'!D25/10,0))</f>
        <v>125663</v>
      </c>
      <c r="E25" s="221">
        <f>IF(Notes!$B$2="June",ROUND('Budget by Source'!E25/10,0)+T25,ROUND('Budget by Source'!E25/10,0))</f>
        <v>13237</v>
      </c>
      <c r="F25" s="221">
        <f>IF(Notes!$B$2="June",ROUND('Budget by Source'!F25/10,0)+U25,ROUND('Budget by Source'!F25/10,0))</f>
        <v>11860</v>
      </c>
      <c r="G25" s="221">
        <f>IF(Notes!$B$2="June",ROUND('Budget by Source'!G25/10,0)+V25,ROUND('Budget by Source'!G25/10,0))</f>
        <v>55953</v>
      </c>
      <c r="H25" s="221">
        <f>INDEX('AEA Funding and Payments'!$A$8:$T$332,MATCH('Payment by Source'!$A25,'AEA Funding and Payments'!$A$8:$A$332,0),MATCH(H$5,'AEA Funding and Payments'!$A$4:$T$4,0))</f>
        <v>32162</v>
      </c>
      <c r="I25" s="221">
        <f>IF(Notes!$B$2="June",INDEX('AEA Funding and Payments'!$A$8:$AI$332,MATCH('Payment by Source'!$A25,'AEA Funding and Payments'!$A$8:$A$332,0),34),
ROUND(INDEX('AEA Funding and Payments'!$A$8:$T$332,MATCH('Payment by Source'!$A25,'AEA Funding and Payments'!$A$8:$A$332,0),MATCH(I$5,'AEA Funding and Payments'!$A$4:$T$4,0))/10,0))</f>
        <v>4962</v>
      </c>
      <c r="J25" s="221">
        <f t="shared" si="1"/>
        <v>986683</v>
      </c>
      <c r="K25" s="221">
        <f>INDEX(Data[],MATCH($A25,Data[Dist],0),MATCH(K$5,Data[#Headers],0))</f>
        <v>1261950</v>
      </c>
      <c r="M25" s="59">
        <f>INDEX('Payment Total'!$A$7:$H$331,MATCH('Payment by Source'!$A25,'Payment Total'!$A$7:$A$331,0),6)-K25</f>
        <v>0</v>
      </c>
      <c r="O25" s="263">
        <f t="shared" si="4"/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9888838</v>
      </c>
      <c r="X25" s="136">
        <f t="shared" si="2"/>
        <v>988884</v>
      </c>
      <c r="Y25" s="136">
        <f t="shared" si="3"/>
        <v>9888840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14720</v>
      </c>
      <c r="D26" s="221">
        <f>IF(Notes!$B$2="June",ROUND('Budget by Source'!D26/10,0)+S26,ROUND('Budget by Source'!D26/10,0))</f>
        <v>57559</v>
      </c>
      <c r="E26" s="221">
        <f>IF(Notes!$B$2="June",ROUND('Budget by Source'!E26/10,0)+T26,ROUND('Budget by Source'!E26/10,0))</f>
        <v>3779</v>
      </c>
      <c r="F26" s="221">
        <f>IF(Notes!$B$2="June",ROUND('Budget by Source'!F26/10,0)+U26,ROUND('Budget by Source'!F26/10,0))</f>
        <v>4103</v>
      </c>
      <c r="G26" s="221">
        <f>IF(Notes!$B$2="June",ROUND('Budget by Source'!G26/10,0)+V26,ROUND('Budget by Source'!G26/10,0))</f>
        <v>19513</v>
      </c>
      <c r="H26" s="221">
        <f>INDEX('AEA Funding and Payments'!$A$8:$T$332,MATCH('Payment by Source'!$A26,'AEA Funding and Payments'!$A$8:$A$332,0),MATCH(H$5,'AEA Funding and Payments'!$A$4:$T$4,0))</f>
        <v>10468</v>
      </c>
      <c r="I26" s="221">
        <f>IF(Notes!$B$2="June",INDEX('AEA Funding and Payments'!$A$8:$AI$332,MATCH('Payment by Source'!$A26,'AEA Funding and Payments'!$A$8:$A$332,0),34),
ROUND(INDEX('AEA Funding and Payments'!$A$8:$T$332,MATCH('Payment by Source'!$A26,'AEA Funding and Payments'!$A$8:$A$332,0),MATCH(I$5,'AEA Funding and Payments'!$A$4:$T$4,0))/10,0))</f>
        <v>1601</v>
      </c>
      <c r="J26" s="221">
        <f t="shared" si="1"/>
        <v>226567</v>
      </c>
      <c r="K26" s="221">
        <f>INDEX(Data[],MATCH($A26,Data[Dist],0),MATCH(K$5,Data[#Headers],0))</f>
        <v>338310</v>
      </c>
      <c r="M26" s="59">
        <f>INDEX('Payment Total'!$A$7:$H$331,MATCH('Payment by Source'!$A26,'Payment Total'!$A$7:$A$331,0),6)-K26</f>
        <v>0</v>
      </c>
      <c r="O26" s="263">
        <f t="shared" si="4"/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2273168</v>
      </c>
      <c r="X26" s="136">
        <f t="shared" si="2"/>
        <v>227317</v>
      </c>
      <c r="Y26" s="136">
        <f t="shared" si="3"/>
        <v>2273170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82256</v>
      </c>
      <c r="E27" s="221">
        <f>IF(Notes!$B$2="June",ROUND('Budget by Source'!E27/10,0)+T27,ROUND('Budget by Source'!E27/10,0))</f>
        <v>5817</v>
      </c>
      <c r="F27" s="221">
        <f>IF(Notes!$B$2="June",ROUND('Budget by Source'!F27/10,0)+U27,ROUND('Budget by Source'!F27/10,0))</f>
        <v>5244</v>
      </c>
      <c r="G27" s="221">
        <f>IF(Notes!$B$2="June",ROUND('Budget by Source'!G27/10,0)+V27,ROUND('Budget by Source'!G27/10,0))</f>
        <v>30442</v>
      </c>
      <c r="H27" s="221">
        <f>INDEX('AEA Funding and Payments'!$A$8:$T$332,MATCH('Payment by Source'!$A27,'AEA Funding and Payments'!$A$8:$A$332,0),MATCH(H$5,'AEA Funding and Payments'!$A$4:$T$4,0))</f>
        <v>16753</v>
      </c>
      <c r="I27" s="221">
        <f>IF(Notes!$B$2="June",INDEX('AEA Funding and Payments'!$A$8:$AI$332,MATCH('Payment by Source'!$A27,'AEA Funding and Payments'!$A$8:$A$332,0),34),
ROUND(INDEX('AEA Funding and Payments'!$A$8:$T$332,MATCH('Payment by Source'!$A27,'AEA Funding and Payments'!$A$8:$A$332,0),MATCH(I$5,'AEA Funding and Payments'!$A$4:$T$4,0))/10,0))</f>
        <v>2588</v>
      </c>
      <c r="J27" s="221">
        <f t="shared" si="1"/>
        <v>340891</v>
      </c>
      <c r="K27" s="221">
        <f>INDEX(Data[],MATCH($A27,Data[Dist],0),MATCH(K$5,Data[#Headers],0))</f>
        <v>497912</v>
      </c>
      <c r="M27" s="59">
        <f>INDEX('Payment Total'!$A$7:$H$331,MATCH('Payment by Source'!$A27,'Payment Total'!$A$7:$A$331,0),6)-K27</f>
        <v>0</v>
      </c>
      <c r="O27" s="263">
        <f t="shared" si="4"/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3420800</v>
      </c>
      <c r="X27" s="136">
        <f t="shared" si="2"/>
        <v>342080</v>
      </c>
      <c r="Y27" s="136">
        <f t="shared" si="3"/>
        <v>3420800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49319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14467</v>
      </c>
      <c r="F28" s="221">
        <f>IF(Notes!$B$2="June",ROUND('Budget by Source'!F28/10,0)+U28,ROUND('Budget by Source'!F28/10,0))</f>
        <v>12418</v>
      </c>
      <c r="G28" s="221">
        <f>IF(Notes!$B$2="June",ROUND('Budget by Source'!G28/10,0)+V28,ROUND('Budget by Source'!G28/10,0))</f>
        <v>69407</v>
      </c>
      <c r="H28" s="221">
        <f>INDEX('AEA Funding and Payments'!$A$8:$T$332,MATCH('Payment by Source'!$A28,'AEA Funding and Payments'!$A$8:$A$332,0),MATCH(H$5,'AEA Funding and Payments'!$A$4:$T$4,0))</f>
        <v>36643</v>
      </c>
      <c r="I28" s="221">
        <f>IF(Notes!$B$2="June",INDEX('AEA Funding and Payments'!$A$8:$AI$332,MATCH('Payment by Source'!$A28,'AEA Funding and Payments'!$A$8:$A$332,0),34),
ROUND(INDEX('AEA Funding and Payments'!$A$8:$T$332,MATCH('Payment by Source'!$A28,'AEA Funding and Payments'!$A$8:$A$332,0),MATCH(I$5,'AEA Funding and Payments'!$A$4:$T$4,0))/10,0))</f>
        <v>5475</v>
      </c>
      <c r="J28" s="221">
        <f t="shared" si="1"/>
        <v>1152015</v>
      </c>
      <c r="K28" s="221">
        <f>INDEX(Data[],MATCH($A28,Data[Dist],0),MATCH(K$5,Data[#Headers],0))</f>
        <v>1480963</v>
      </c>
      <c r="M28" s="59">
        <f>INDEX('Payment Total'!$A$7:$H$331,MATCH('Payment by Source'!$A28,'Payment Total'!$A$7:$A$331,0),6)-K28</f>
        <v>0</v>
      </c>
      <c r="O28" s="263">
        <f t="shared" si="4"/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11547059</v>
      </c>
      <c r="X28" s="136">
        <f t="shared" si="2"/>
        <v>1154706</v>
      </c>
      <c r="Y28" s="136">
        <f t="shared" si="3"/>
        <v>11547060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9939</v>
      </c>
      <c r="D29" s="221">
        <f>IF(Notes!$B$2="June",ROUND('Budget by Source'!D29/10,0)+S29,ROUND('Budget by Source'!D29/10,0))</f>
        <v>55654</v>
      </c>
      <c r="E29" s="221">
        <f>IF(Notes!$B$2="June",ROUND('Budget by Source'!E29/10,0)+T29,ROUND('Budget by Source'!E29/10,0))</f>
        <v>2758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13411</v>
      </c>
      <c r="H29" s="221">
        <f>INDEX('AEA Funding and Payments'!$A$8:$T$332,MATCH('Payment by Source'!$A29,'AEA Funding and Payments'!$A$8:$A$332,0),MATCH(H$5,'AEA Funding and Payments'!$A$4:$T$4,0))</f>
        <v>7136</v>
      </c>
      <c r="I29" s="221">
        <f>IF(Notes!$B$2="June",INDEX('AEA Funding and Payments'!$A$8:$AI$332,MATCH('Payment by Source'!$A29,'AEA Funding and Payments'!$A$8:$A$332,0),34),
ROUND(INDEX('AEA Funding and Payments'!$A$8:$T$332,MATCH('Payment by Source'!$A29,'AEA Funding and Payments'!$A$8:$A$332,0),MATCH(I$5,'AEA Funding and Payments'!$A$4:$T$4,0))/10,0))</f>
        <v>1070</v>
      </c>
      <c r="J29" s="221">
        <f t="shared" si="1"/>
        <v>223567</v>
      </c>
      <c r="K29" s="221">
        <f>INDEX(Data[],MATCH($A29,Data[Dist],0),MATCH(K$5,Data[#Headers],0))</f>
        <v>316105</v>
      </c>
      <c r="M29" s="59">
        <f>INDEX('Payment Total'!$A$7:$H$331,MATCH('Payment by Source'!$A29,'Payment Total'!$A$7:$A$331,0),6)-K29</f>
        <v>0</v>
      </c>
      <c r="O29" s="263">
        <f t="shared" si="4"/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2240687</v>
      </c>
      <c r="X29" s="136">
        <f t="shared" si="2"/>
        <v>224069</v>
      </c>
      <c r="Y29" s="136">
        <f t="shared" si="3"/>
        <v>2240690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7953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3361</v>
      </c>
      <c r="F30" s="221">
        <f>IF(Notes!$B$2="June",ROUND('Budget by Source'!F30/10,0)+U30,ROUND('Budget by Source'!F30/10,0))</f>
        <v>3454</v>
      </c>
      <c r="G30" s="221">
        <f>IF(Notes!$B$2="June",ROUND('Budget by Source'!G30/10,0)+V30,ROUND('Budget by Source'!G30/10,0))</f>
        <v>17218</v>
      </c>
      <c r="H30" s="221">
        <f>INDEX('AEA Funding and Payments'!$A$8:$T$332,MATCH('Payment by Source'!$A30,'AEA Funding and Payments'!$A$8:$A$332,0),MATCH(H$5,'AEA Funding and Payments'!$A$4:$T$4,0))</f>
        <v>9446</v>
      </c>
      <c r="I30" s="221">
        <f>IF(Notes!$B$2="June",INDEX('AEA Funding and Payments'!$A$8:$AI$332,MATCH('Payment by Source'!$A30,'AEA Funding and Payments'!$A$8:$A$332,0),34),
ROUND(INDEX('AEA Funding and Payments'!$A$8:$T$332,MATCH('Payment by Source'!$A30,'AEA Funding and Payments'!$A$8:$A$332,0),MATCH(I$5,'AEA Funding and Payments'!$A$4:$T$4,0))/10,0))</f>
        <v>1566</v>
      </c>
      <c r="J30" s="221">
        <f t="shared" si="1"/>
        <v>192639</v>
      </c>
      <c r="K30" s="221">
        <f>INDEX(Data[],MATCH($A30,Data[Dist],0),MATCH(K$5,Data[#Headers],0))</f>
        <v>295080</v>
      </c>
      <c r="M30" s="59">
        <f>INDEX('Payment Total'!$A$7:$H$331,MATCH('Payment by Source'!$A30,'Payment Total'!$A$7:$A$331,0),6)-K30</f>
        <v>0</v>
      </c>
      <c r="O30" s="263">
        <f t="shared" si="4"/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1933113</v>
      </c>
      <c r="X30" s="136">
        <f t="shared" si="2"/>
        <v>193311</v>
      </c>
      <c r="Y30" s="136">
        <f t="shared" si="3"/>
        <v>1933110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11934</v>
      </c>
      <c r="D31" s="221">
        <f>IF(Notes!$B$2="June",ROUND('Budget by Source'!D31/10,0)+S31,ROUND('Budget by Source'!D31/10,0))</f>
        <v>48140</v>
      </c>
      <c r="E31" s="221">
        <f>IF(Notes!$B$2="June",ROUND('Budget by Source'!E31/10,0)+T31,ROUND('Budget by Source'!E31/10,0))</f>
        <v>4292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19379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IF(Notes!$B$2="June",INDEX('AEA Funding and Payments'!$A$8:$AI$332,MATCH('Payment by Source'!$A31,'AEA Funding and Payments'!$A$8:$A$332,0),34),
ROUND(INDEX('AEA Funding and Payments'!$A$8:$T$332,MATCH('Payment by Source'!$A31,'AEA Funding and Payments'!$A$8:$A$332,0),MATCH(I$5,'AEA Funding and Payments'!$A$4:$T$4,0))/10,0))</f>
        <v>1637</v>
      </c>
      <c r="J31" s="221">
        <f t="shared" si="1"/>
        <v>268366</v>
      </c>
      <c r="K31" s="221">
        <f>INDEX(Data[],MATCH($A31,Data[Dist],0),MATCH(K$5,Data[#Headers],0))</f>
        <v>368279</v>
      </c>
      <c r="M31" s="59">
        <f>INDEX('Payment Total'!$A$7:$H$331,MATCH('Payment by Source'!$A31,'Payment Total'!$A$7:$A$331,0),6)-K31</f>
        <v>0</v>
      </c>
      <c r="O31" s="263">
        <f t="shared" si="4"/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2691303</v>
      </c>
      <c r="X31" s="136">
        <f t="shared" si="2"/>
        <v>269130</v>
      </c>
      <c r="Y31" s="136">
        <f t="shared" si="3"/>
        <v>2691300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5967</v>
      </c>
      <c r="D32" s="221">
        <f>IF(Notes!$B$2="June",ROUND('Budget by Source'!D32/10,0)+S32,ROUND('Budget by Source'!D32/10,0))</f>
        <v>63578</v>
      </c>
      <c r="E32" s="221">
        <f>IF(Notes!$B$2="June",ROUND('Budget by Source'!E32/10,0)+T32,ROUND('Budget by Source'!E32/10,0))</f>
        <v>3286</v>
      </c>
      <c r="F32" s="221">
        <f>IF(Notes!$B$2="June",ROUND('Budget by Source'!F32/10,0)+U32,ROUND('Budget by Source'!F32/10,0))</f>
        <v>3204</v>
      </c>
      <c r="G32" s="221">
        <f>IF(Notes!$B$2="June",ROUND('Budget by Source'!G32/10,0)+V32,ROUND('Budget by Source'!G32/10,0))</f>
        <v>18018</v>
      </c>
      <c r="H32" s="221">
        <f>INDEX('AEA Funding and Payments'!$A$8:$T$332,MATCH('Payment by Source'!$A32,'AEA Funding and Payments'!$A$8:$A$332,0),MATCH(H$5,'AEA Funding and Payments'!$A$4:$T$4,0))</f>
        <v>9871</v>
      </c>
      <c r="I32" s="221">
        <f>IF(Notes!$B$2="June",INDEX('AEA Funding and Payments'!$A$8:$AI$332,MATCH('Payment by Source'!$A32,'AEA Funding and Payments'!$A$8:$A$332,0),34),
ROUND(INDEX('AEA Funding and Payments'!$A$8:$T$332,MATCH('Payment by Source'!$A32,'AEA Funding and Payments'!$A$8:$A$332,0),MATCH(I$5,'AEA Funding and Payments'!$A$4:$T$4,0))/10,0))</f>
        <v>1513</v>
      </c>
      <c r="J32" s="221">
        <f t="shared" si="1"/>
        <v>299675</v>
      </c>
      <c r="K32" s="221">
        <f>INDEX(Data[],MATCH($A32,Data[Dist],0),MATCH(K$5,Data[#Headers],0))</f>
        <v>405112</v>
      </c>
      <c r="M32" s="59">
        <f>INDEX('Payment Total'!$A$7:$H$331,MATCH('Payment by Source'!$A32,'Payment Total'!$A$7:$A$331,0),6)-K32</f>
        <v>0</v>
      </c>
      <c r="O32" s="263">
        <f t="shared" si="4"/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3003840</v>
      </c>
      <c r="X32" s="136">
        <f t="shared" si="2"/>
        <v>300384</v>
      </c>
      <c r="Y32" s="136">
        <f t="shared" si="3"/>
        <v>3003840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20283</v>
      </c>
      <c r="D33" s="221">
        <f>IF(Notes!$B$2="June",ROUND('Budget by Source'!D33/10,0)+S33,ROUND('Budget by Source'!D33/10,0))</f>
        <v>73836</v>
      </c>
      <c r="E33" s="221">
        <f>IF(Notes!$B$2="June",ROUND('Budget by Source'!E33/10,0)+T33,ROUND('Budget by Source'!E33/10,0))</f>
        <v>5436</v>
      </c>
      <c r="F33" s="221">
        <f>IF(Notes!$B$2="June",ROUND('Budget by Source'!F33/10,0)+U33,ROUND('Budget by Source'!F33/10,0))</f>
        <v>5735</v>
      </c>
      <c r="G33" s="221">
        <f>IF(Notes!$B$2="June",ROUND('Budget by Source'!G33/10,0)+V33,ROUND('Budget by Source'!G33/10,0))</f>
        <v>28310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IF(Notes!$B$2="June",INDEX('AEA Funding and Payments'!$A$8:$AI$332,MATCH('Payment by Source'!$A33,'AEA Funding and Payments'!$A$8:$A$332,0),34),
ROUND(INDEX('AEA Funding and Payments'!$A$8:$T$332,MATCH('Payment by Source'!$A33,'AEA Funding and Payments'!$A$8:$A$332,0),MATCH(I$5,'AEA Funding and Payments'!$A$4:$T$4,0))/10,0))</f>
        <v>1916</v>
      </c>
      <c r="J33" s="221">
        <f t="shared" si="1"/>
        <v>296135</v>
      </c>
      <c r="K33" s="221">
        <f>INDEX(Data[],MATCH($A33,Data[Dist],0),MATCH(K$5,Data[#Headers],0))</f>
        <v>443839</v>
      </c>
      <c r="M33" s="59">
        <f>INDEX('Payment Total'!$A$7:$H$331,MATCH('Payment by Source'!$A33,'Payment Total'!$A$7:$A$331,0),6)-K33</f>
        <v>0</v>
      </c>
      <c r="O33" s="263">
        <f t="shared" si="4"/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2970484</v>
      </c>
      <c r="X33" s="136">
        <f t="shared" si="2"/>
        <v>297048</v>
      </c>
      <c r="Y33" s="136">
        <f t="shared" si="3"/>
        <v>2970480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15511</v>
      </c>
      <c r="D34" s="221">
        <f>IF(Notes!$B$2="June",ROUND('Budget by Source'!D34/10,0)+S34,ROUND('Budget by Source'!D34/10,0))</f>
        <v>71607</v>
      </c>
      <c r="E34" s="221">
        <f>IF(Notes!$B$2="June",ROUND('Budget by Source'!E34/10,0)+T34,ROUND('Budget by Source'!E34/10,0))</f>
        <v>6179</v>
      </c>
      <c r="F34" s="221">
        <f>IF(Notes!$B$2="June",ROUND('Budget by Source'!F34/10,0)+U34,ROUND('Budget by Source'!F34/10,0))</f>
        <v>5337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15029</v>
      </c>
      <c r="I34" s="221">
        <f>IF(Notes!$B$2="June",INDEX('AEA Funding and Payments'!$A$8:$AI$332,MATCH('Payment by Source'!$A34,'AEA Funding and Payments'!$A$8:$A$332,0),34),
ROUND(INDEX('AEA Funding and Payments'!$A$8:$T$332,MATCH('Payment by Source'!$A34,'AEA Funding and Payments'!$A$8:$A$332,0),MATCH(I$5,'AEA Funding and Payments'!$A$4:$T$4,0))/10,0))</f>
        <v>2420</v>
      </c>
      <c r="J34" s="221">
        <f t="shared" si="1"/>
        <v>400354</v>
      </c>
      <c r="K34" s="221">
        <f>INDEX(Data[],MATCH($A34,Data[Dist],0),MATCH(K$5,Data[#Headers],0))</f>
        <v>544658</v>
      </c>
      <c r="M34" s="59">
        <f>INDEX('Payment Total'!$A$7:$H$331,MATCH('Payment by Source'!$A34,'Payment Total'!$A$7:$A$331,0),6)-K34</f>
        <v>0</v>
      </c>
      <c r="O34" s="263">
        <f t="shared" si="4"/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4014278</v>
      </c>
      <c r="X34" s="136">
        <f t="shared" si="2"/>
        <v>401428</v>
      </c>
      <c r="Y34" s="136">
        <f t="shared" si="3"/>
        <v>4014280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3181</v>
      </c>
      <c r="D35" s="221">
        <f>IF(Notes!$B$2="June",ROUND('Budget by Source'!D35/10,0)+S35,ROUND('Budget by Source'!D35/10,0))</f>
        <v>22058</v>
      </c>
      <c r="E35" s="221">
        <f>IF(Notes!$B$2="June",ROUND('Budget by Source'!E35/10,0)+T35,ROUND('Budget by Source'!E35/10,0))</f>
        <v>1344</v>
      </c>
      <c r="F35" s="221">
        <f>IF(Notes!$B$2="June",ROUND('Budget by Source'!F35/10,0)+U35,ROUND('Budget by Source'!F35/10,0))</f>
        <v>871</v>
      </c>
      <c r="G35" s="221">
        <f>IF(Notes!$B$2="June",ROUND('Budget by Source'!G35/10,0)+V35,ROUND('Budget by Source'!G35/10,0))</f>
        <v>6552</v>
      </c>
      <c r="H35" s="221">
        <f>INDEX('AEA Funding and Payments'!$A$8:$T$332,MATCH('Payment by Source'!$A35,'AEA Funding and Payments'!$A$8:$A$332,0),MATCH(H$5,'AEA Funding and Payments'!$A$4:$T$4,0))</f>
        <v>3327</v>
      </c>
      <c r="I35" s="221">
        <f>IF(Notes!$B$2="June",INDEX('AEA Funding and Payments'!$A$8:$AI$332,MATCH('Payment by Source'!$A35,'AEA Funding and Payments'!$A$8:$A$332,0),34),
ROUND(INDEX('AEA Funding and Payments'!$A$8:$T$332,MATCH('Payment by Source'!$A35,'AEA Funding and Payments'!$A$8:$A$332,0),MATCH(I$5,'AEA Funding and Payments'!$A$4:$T$4,0))/10,0))</f>
        <v>624</v>
      </c>
      <c r="J35" s="221">
        <f t="shared" si="1"/>
        <v>80477</v>
      </c>
      <c r="K35" s="221">
        <f>INDEX(Data[],MATCH($A35,Data[Dist],0),MATCH(K$5,Data[#Headers],0))</f>
        <v>118434</v>
      </c>
      <c r="M35" s="59">
        <f>INDEX('Payment Total'!$A$7:$H$331,MATCH('Payment by Source'!$A35,'Payment Total'!$A$7:$A$331,0),6)-K35</f>
        <v>0</v>
      </c>
      <c r="O35" s="263">
        <f t="shared" si="4"/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807291</v>
      </c>
      <c r="X35" s="136">
        <f t="shared" si="2"/>
        <v>80729</v>
      </c>
      <c r="Y35" s="136">
        <f t="shared" si="3"/>
        <v>807290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129813</v>
      </c>
      <c r="E36" s="221">
        <f>IF(Notes!$B$2="June",ROUND('Budget by Source'!E36/10,0)+T36,ROUND('Budget by Source'!E36/10,0))</f>
        <v>11441</v>
      </c>
      <c r="F36" s="221">
        <f>IF(Notes!$B$2="June",ROUND('Budget by Source'!F36/10,0)+U36,ROUND('Budget by Source'!F36/10,0))</f>
        <v>11923</v>
      </c>
      <c r="G36" s="221">
        <f>IF(Notes!$B$2="June",ROUND('Budget by Source'!G36/10,0)+V36,ROUND('Budget by Source'!G36/10,0))</f>
        <v>61441</v>
      </c>
      <c r="H36" s="221">
        <f>INDEX('AEA Funding and Payments'!$A$8:$T$332,MATCH('Payment by Source'!$A36,'AEA Funding and Payments'!$A$8:$A$332,0),MATCH(H$5,'AEA Funding and Payments'!$A$4:$T$4,0))</f>
        <v>30334</v>
      </c>
      <c r="I36" s="221">
        <f>IF(Notes!$B$2="June",INDEX('AEA Funding and Payments'!$A$8:$AI$332,MATCH('Payment by Source'!$A36,'AEA Funding and Payments'!$A$8:$A$332,0),34),
ROUND(INDEX('AEA Funding and Payments'!$A$8:$T$332,MATCH('Payment by Source'!$A36,'AEA Funding and Payments'!$A$8:$A$332,0),MATCH(I$5,'AEA Funding and Payments'!$A$4:$T$4,0))/10,0))</f>
        <v>4669</v>
      </c>
      <c r="J36" s="221">
        <f t="shared" si="1"/>
        <v>746013</v>
      </c>
      <c r="K36" s="221">
        <f>INDEX(Data[],MATCH($A36,Data[Dist],0),MATCH(K$5,Data[#Headers],0))</f>
        <v>1030244</v>
      </c>
      <c r="M36" s="59">
        <f>INDEX('Payment Total'!$A$7:$H$331,MATCH('Payment by Source'!$A36,'Payment Total'!$A$7:$A$331,0),6)-K36</f>
        <v>0</v>
      </c>
      <c r="O36" s="263">
        <f t="shared" si="4"/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7482616</v>
      </c>
      <c r="X36" s="136">
        <f t="shared" si="2"/>
        <v>748262</v>
      </c>
      <c r="Y36" s="136">
        <f t="shared" si="3"/>
        <v>7482620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305401</v>
      </c>
      <c r="E37" s="221">
        <f>IF(Notes!$B$2="June",ROUND('Budget by Source'!E37/10,0)+T37,ROUND('Budget by Source'!E37/10,0))</f>
        <v>31803</v>
      </c>
      <c r="F37" s="221">
        <f>IF(Notes!$B$2="June",ROUND('Budget by Source'!F37/10,0)+U37,ROUND('Budget by Source'!F37/10,0))</f>
        <v>31264</v>
      </c>
      <c r="G37" s="221">
        <f>IF(Notes!$B$2="June",ROUND('Budget by Source'!G37/10,0)+V37,ROUND('Budget by Source'!G37/10,0))</f>
        <v>157604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IF(Notes!$B$2="June",INDEX('AEA Funding and Payments'!$A$8:$AI$332,MATCH('Payment by Source'!$A37,'AEA Funding and Payments'!$A$8:$A$332,0),34),
ROUND(INDEX('AEA Funding and Payments'!$A$8:$T$332,MATCH('Payment by Source'!$A37,'AEA Funding and Payments'!$A$8:$A$332,0),MATCH(I$5,'AEA Funding and Payments'!$A$4:$T$4,0))/10,0))</f>
        <v>12750</v>
      </c>
      <c r="J37" s="221">
        <f t="shared" si="1"/>
        <v>2210920</v>
      </c>
      <c r="K37" s="221">
        <f>INDEX(Data[],MATCH($A37,Data[Dist],0),MATCH(K$5,Data[#Headers],0))</f>
        <v>2911192</v>
      </c>
      <c r="M37" s="59">
        <f>INDEX('Payment Total'!$A$7:$H$331,MATCH('Payment by Source'!$A37,'Payment Total'!$A$7:$A$331,0),6)-K37</f>
        <v>0</v>
      </c>
      <c r="O37" s="263">
        <f t="shared" si="4"/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22167394</v>
      </c>
      <c r="X37" s="136">
        <f t="shared" si="2"/>
        <v>2216739</v>
      </c>
      <c r="Y37" s="136">
        <f t="shared" si="3"/>
        <v>22167390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20679</v>
      </c>
      <c r="D38" s="221">
        <f>IF(Notes!$B$2="June",ROUND('Budget by Source'!D38/10,0)+S38,ROUND('Budget by Source'!D38/10,0))</f>
        <v>111698</v>
      </c>
      <c r="E38" s="221">
        <f>IF(Notes!$B$2="June",ROUND('Budget by Source'!E38/10,0)+T38,ROUND('Budget by Source'!E38/10,0))</f>
        <v>7201</v>
      </c>
      <c r="F38" s="221">
        <f>IF(Notes!$B$2="June",ROUND('Budget by Source'!F38/10,0)+U38,ROUND('Budget by Source'!F38/10,0))</f>
        <v>6004</v>
      </c>
      <c r="G38" s="221">
        <f>IF(Notes!$B$2="June",ROUND('Budget by Source'!G38/10,0)+V38,ROUND('Budget by Source'!G38/10,0))</f>
        <v>30983</v>
      </c>
      <c r="H38" s="221">
        <f>INDEX('AEA Funding and Payments'!$A$8:$T$332,MATCH('Payment by Source'!$A38,'AEA Funding and Payments'!$A$8:$A$332,0),MATCH(H$5,'AEA Funding and Payments'!$A$4:$T$4,0))</f>
        <v>16272</v>
      </c>
      <c r="I38" s="221">
        <f>IF(Notes!$B$2="June",INDEX('AEA Funding and Payments'!$A$8:$AI$332,MATCH('Payment by Source'!$A38,'AEA Funding and Payments'!$A$8:$A$332,0),34),
ROUND(INDEX('AEA Funding and Payments'!$A$8:$T$332,MATCH('Payment by Source'!$A38,'AEA Funding and Payments'!$A$8:$A$332,0),MATCH(I$5,'AEA Funding and Payments'!$A$4:$T$4,0))/10,0))</f>
        <v>2558</v>
      </c>
      <c r="J38" s="221">
        <f t="shared" si="1"/>
        <v>329687</v>
      </c>
      <c r="K38" s="221">
        <f>INDEX(Data[],MATCH($A38,Data[Dist],0),MATCH(K$5,Data[#Headers],0))</f>
        <v>525082</v>
      </c>
      <c r="M38" s="59">
        <f>INDEX('Payment Total'!$A$7:$H$331,MATCH('Payment by Source'!$A38,'Payment Total'!$A$7:$A$331,0),6)-K38</f>
        <v>0</v>
      </c>
      <c r="O38" s="263">
        <f t="shared" si="4"/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3308785</v>
      </c>
      <c r="X38" s="136">
        <f t="shared" si="2"/>
        <v>330879</v>
      </c>
      <c r="Y38" s="136">
        <f t="shared" si="3"/>
        <v>3308790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34599</v>
      </c>
      <c r="D39" s="221">
        <f>IF(Notes!$B$2="June",ROUND('Budget by Source'!D39/10,0)+S39,ROUND('Budget by Source'!D39/10,0))</f>
        <v>206537</v>
      </c>
      <c r="E39" s="221">
        <f>IF(Notes!$B$2="June",ROUND('Budget by Source'!E39/10,0)+T39,ROUND('Budget by Source'!E39/10,0))</f>
        <v>21714</v>
      </c>
      <c r="F39" s="221">
        <f>IF(Notes!$B$2="June",ROUND('Budget by Source'!F39/10,0)+U39,ROUND('Budget by Source'!F39/10,0))</f>
        <v>18755</v>
      </c>
      <c r="G39" s="221">
        <f>IF(Notes!$B$2="June",ROUND('Budget by Source'!G39/10,0)+V39,ROUND('Budget by Source'!G39/10,0))</f>
        <v>104851</v>
      </c>
      <c r="H39" s="221">
        <f>INDEX('AEA Funding and Payments'!$A$8:$T$332,MATCH('Payment by Source'!$A39,'AEA Funding and Payments'!$A$8:$A$332,0),MATCH(H$5,'AEA Funding and Payments'!$A$4:$T$4,0))</f>
        <v>56078</v>
      </c>
      <c r="I39" s="221">
        <f>IF(Notes!$B$2="June",INDEX('AEA Funding and Payments'!$A$8:$AI$332,MATCH('Payment by Source'!$A39,'AEA Funding and Payments'!$A$8:$A$332,0),34),
ROUND(INDEX('AEA Funding and Payments'!$A$8:$T$332,MATCH('Payment by Source'!$A39,'AEA Funding and Payments'!$A$8:$A$332,0),MATCH(I$5,'AEA Funding and Payments'!$A$4:$T$4,0))/10,0))</f>
        <v>8376</v>
      </c>
      <c r="J39" s="221">
        <f t="shared" si="1"/>
        <v>1724882</v>
      </c>
      <c r="K39" s="221">
        <f>INDEX(Data[],MATCH($A39,Data[Dist],0),MATCH(K$5,Data[#Headers],0))</f>
        <v>2175792</v>
      </c>
      <c r="M39" s="59">
        <f>INDEX('Payment Total'!$A$7:$H$331,MATCH('Payment by Source'!$A39,'Payment Total'!$A$7:$A$331,0),6)-K39</f>
        <v>0</v>
      </c>
      <c r="O39" s="263">
        <f t="shared" si="4"/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17289259</v>
      </c>
      <c r="X39" s="136">
        <f t="shared" si="2"/>
        <v>1728926</v>
      </c>
      <c r="Y39" s="136">
        <f t="shared" si="3"/>
        <v>17289260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37789</v>
      </c>
      <c r="D40" s="221">
        <f>IF(Notes!$B$2="June",ROUND('Budget by Source'!D40/10,0)+S40,ROUND('Budget by Source'!D40/10,0))</f>
        <v>161788</v>
      </c>
      <c r="E40" s="221">
        <f>IF(Notes!$B$2="June",ROUND('Budget by Source'!E40/10,0)+T40,ROUND('Budget by Source'!E40/10,0))</f>
        <v>17101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82108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IF(Notes!$B$2="June",INDEX('AEA Funding and Payments'!$A$8:$AI$332,MATCH('Payment by Source'!$A40,'AEA Funding and Payments'!$A$8:$A$332,0),34),
ROUND(INDEX('AEA Funding and Payments'!$A$8:$T$332,MATCH('Payment by Source'!$A40,'AEA Funding and Payments'!$A$8:$A$332,0),MATCH(I$5,'AEA Funding and Payments'!$A$4:$T$4,0))/10,0))</f>
        <v>6593</v>
      </c>
      <c r="J40" s="221">
        <f t="shared" si="1"/>
        <v>1377345</v>
      </c>
      <c r="K40" s="221">
        <f>INDEX(Data[],MATCH($A40,Data[Dist],0),MATCH(K$5,Data[#Headers],0))</f>
        <v>1745012</v>
      </c>
      <c r="M40" s="59">
        <f>INDEX('Payment Total'!$A$7:$H$331,MATCH('Payment by Source'!$A40,'Payment Total'!$A$7:$A$331,0),6)-K40</f>
        <v>0</v>
      </c>
      <c r="O40" s="263">
        <f t="shared" si="4"/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13803637</v>
      </c>
      <c r="X40" s="136">
        <f t="shared" si="2"/>
        <v>1380364</v>
      </c>
      <c r="Y40" s="136">
        <f t="shared" si="3"/>
        <v>13803640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18297</v>
      </c>
      <c r="D41" s="221">
        <f>IF(Notes!$B$2="June",ROUND('Budget by Source'!D41/10,0)+S41,ROUND('Budget by Source'!D41/10,0))</f>
        <v>82506</v>
      </c>
      <c r="E41" s="221">
        <f>IF(Notes!$B$2="June",ROUND('Budget by Source'!E41/10,0)+T41,ROUND('Budget by Source'!E41/10,0))</f>
        <v>7917</v>
      </c>
      <c r="F41" s="221">
        <f>IF(Notes!$B$2="June",ROUND('Budget by Source'!F41/10,0)+U41,ROUND('Budget by Source'!F41/10,0))</f>
        <v>6599</v>
      </c>
      <c r="G41" s="221">
        <f>IF(Notes!$B$2="June",ROUND('Budget by Source'!G41/10,0)+V41,ROUND('Budget by Source'!G41/10,0))</f>
        <v>34005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IF(Notes!$B$2="June",INDEX('AEA Funding and Payments'!$A$8:$AI$332,MATCH('Payment by Source'!$A41,'AEA Funding and Payments'!$A$8:$A$332,0),34),
ROUND(INDEX('AEA Funding and Payments'!$A$8:$T$332,MATCH('Payment by Source'!$A41,'AEA Funding and Payments'!$A$8:$A$332,0),MATCH(I$5,'AEA Funding and Payments'!$A$4:$T$4,0))/10,0))</f>
        <v>1861</v>
      </c>
      <c r="J41" s="221">
        <f t="shared" si="1"/>
        <v>306143</v>
      </c>
      <c r="K41" s="221">
        <f>INDEX(Data[],MATCH($A41,Data[Dist],0),MATCH(K$5,Data[#Headers],0))</f>
        <v>468974</v>
      </c>
      <c r="M41" s="59">
        <f>INDEX('Payment Total'!$A$7:$H$331,MATCH('Payment by Source'!$A41,'Payment Total'!$A$7:$A$331,0),6)-K41</f>
        <v>0</v>
      </c>
      <c r="O41" s="263">
        <f t="shared" si="4"/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3069717</v>
      </c>
      <c r="X41" s="136">
        <f t="shared" si="2"/>
        <v>306972</v>
      </c>
      <c r="Y41" s="136">
        <f t="shared" si="3"/>
        <v>3069720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18693</v>
      </c>
      <c r="D42" s="221">
        <f>IF(Notes!$B$2="June",ROUND('Budget by Source'!D42/10,0)+S42,ROUND('Budget by Source'!D42/10,0))</f>
        <v>60252</v>
      </c>
      <c r="E42" s="221">
        <f>IF(Notes!$B$2="June",ROUND('Budget by Source'!E42/10,0)+T42,ROUND('Budget by Source'!E42/10,0))</f>
        <v>4780</v>
      </c>
      <c r="F42" s="221">
        <f>IF(Notes!$B$2="June",ROUND('Budget by Source'!F42/10,0)+U42,ROUND('Budget by Source'!F42/10,0))</f>
        <v>4283</v>
      </c>
      <c r="G42" s="221">
        <f>IF(Notes!$B$2="June",ROUND('Budget by Source'!G42/10,0)+V42,ROUND('Budget by Source'!G42/10,0))</f>
        <v>22963</v>
      </c>
      <c r="H42" s="221">
        <f>INDEX('AEA Funding and Payments'!$A$8:$T$332,MATCH('Payment by Source'!$A42,'AEA Funding and Payments'!$A$8:$A$332,0),MATCH(H$5,'AEA Funding and Payments'!$A$4:$T$4,0))</f>
        <v>11979</v>
      </c>
      <c r="I42" s="221">
        <f>IF(Notes!$B$2="June",INDEX('AEA Funding and Payments'!$A$8:$AI$332,MATCH('Payment by Source'!$A42,'AEA Funding and Payments'!$A$8:$A$332,0),34),
ROUND(INDEX('AEA Funding and Payments'!$A$8:$T$332,MATCH('Payment by Source'!$A42,'AEA Funding and Payments'!$A$8:$A$332,0),MATCH(I$5,'AEA Funding and Payments'!$A$4:$T$4,0))/10,0))</f>
        <v>1876</v>
      </c>
      <c r="J42" s="221">
        <f t="shared" si="1"/>
        <v>278443</v>
      </c>
      <c r="K42" s="221">
        <f>INDEX(Data[],MATCH($A42,Data[Dist],0),MATCH(K$5,Data[#Headers],0))</f>
        <v>403269</v>
      </c>
      <c r="M42" s="59">
        <f>INDEX('Payment Total'!$A$7:$H$331,MATCH('Payment by Source'!$A42,'Payment Total'!$A$7:$A$331,0),6)-K42</f>
        <v>0</v>
      </c>
      <c r="O42" s="263">
        <f t="shared" si="4"/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2793325</v>
      </c>
      <c r="X42" s="136">
        <f t="shared" si="2"/>
        <v>279333</v>
      </c>
      <c r="Y42" s="136">
        <f t="shared" si="3"/>
        <v>2793330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9939</v>
      </c>
      <c r="D43" s="221">
        <f>IF(Notes!$B$2="June",ROUND('Budget by Source'!D43/10,0)+S43,ROUND('Budget by Source'!D43/10,0))</f>
        <v>58850</v>
      </c>
      <c r="E43" s="221">
        <f>IF(Notes!$B$2="June",ROUND('Budget by Source'!E43/10,0)+T43,ROUND('Budget by Source'!E43/10,0))</f>
        <v>4065</v>
      </c>
      <c r="F43" s="221">
        <f>IF(Notes!$B$2="June",ROUND('Budget by Source'!F43/10,0)+U43,ROUND('Budget by Source'!F43/10,0))</f>
        <v>3793</v>
      </c>
      <c r="G43" s="221">
        <f>IF(Notes!$B$2="June",ROUND('Budget by Source'!G43/10,0)+V43,ROUND('Budget by Source'!G43/10,0))</f>
        <v>19977</v>
      </c>
      <c r="H43" s="221">
        <f>INDEX('AEA Funding and Payments'!$A$8:$T$332,MATCH('Payment by Source'!$A43,'AEA Funding and Payments'!$A$8:$A$332,0),MATCH(H$5,'AEA Funding and Payments'!$A$4:$T$4,0))</f>
        <v>11179</v>
      </c>
      <c r="I43" s="221">
        <f>IF(Notes!$B$2="June",INDEX('AEA Funding and Payments'!$A$8:$AI$332,MATCH('Payment by Source'!$A43,'AEA Funding and Payments'!$A$8:$A$332,0),34),
ROUND(INDEX('AEA Funding and Payments'!$A$8:$T$332,MATCH('Payment by Source'!$A43,'AEA Funding and Payments'!$A$8:$A$332,0),MATCH(I$5,'AEA Funding and Payments'!$A$4:$T$4,0))/10,0))</f>
        <v>1750</v>
      </c>
      <c r="J43" s="221">
        <f t="shared" si="1"/>
        <v>280736</v>
      </c>
      <c r="K43" s="221">
        <f>INDEX(Data[],MATCH($A43,Data[Dist],0),MATCH(K$5,Data[#Headers],0))</f>
        <v>390289</v>
      </c>
      <c r="M43" s="59">
        <f>INDEX('Payment Total'!$A$7:$H$331,MATCH('Payment by Source'!$A43,'Payment Total'!$A$7:$A$331,0),6)-K43</f>
        <v>0</v>
      </c>
      <c r="O43" s="263">
        <f t="shared" si="4"/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2815285</v>
      </c>
      <c r="X43" s="136">
        <f t="shared" si="2"/>
        <v>281529</v>
      </c>
      <c r="Y43" s="136">
        <f t="shared" si="3"/>
        <v>2815290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59052</v>
      </c>
      <c r="E44" s="221">
        <f>IF(Notes!$B$2="June",ROUND('Budget by Source'!E44/10,0)+T44,ROUND('Budget by Source'!E44/10,0))</f>
        <v>3536</v>
      </c>
      <c r="F44" s="221">
        <f>IF(Notes!$B$2="June",ROUND('Budget by Source'!F44/10,0)+U44,ROUND('Budget by Source'!F44/10,0))</f>
        <v>3657</v>
      </c>
      <c r="G44" s="221">
        <f>IF(Notes!$B$2="June",ROUND('Budget by Source'!G44/10,0)+V44,ROUND('Budget by Source'!G44/10,0))</f>
        <v>17822</v>
      </c>
      <c r="H44" s="221">
        <f>INDEX('AEA Funding and Payments'!$A$8:$T$332,MATCH('Payment by Source'!$A44,'AEA Funding and Payments'!$A$8:$A$332,0),MATCH(H$5,'AEA Funding and Payments'!$A$4:$T$4,0))</f>
        <v>9806</v>
      </c>
      <c r="I44" s="221">
        <f>IF(Notes!$B$2="June",INDEX('AEA Funding and Payments'!$A$8:$AI$332,MATCH('Payment by Source'!$A44,'AEA Funding and Payments'!$A$8:$A$332,0),34),
ROUND(INDEX('AEA Funding and Payments'!$A$8:$T$332,MATCH('Payment by Source'!$A44,'AEA Funding and Payments'!$A$8:$A$332,0),MATCH(I$5,'AEA Funding and Payments'!$A$4:$T$4,0))/10,0))</f>
        <v>1578</v>
      </c>
      <c r="J44" s="221">
        <f t="shared" si="1"/>
        <v>157255</v>
      </c>
      <c r="K44" s="221">
        <f>INDEX(Data[],MATCH($A44,Data[Dist],0),MATCH(K$5,Data[#Headers],0))</f>
        <v>263445</v>
      </c>
      <c r="M44" s="59">
        <f>INDEX('Payment Total'!$A$7:$H$331,MATCH('Payment by Source'!$A44,'Payment Total'!$A$7:$A$331,0),6)-K44</f>
        <v>0</v>
      </c>
      <c r="O44" s="263">
        <f t="shared" si="4"/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1579379</v>
      </c>
      <c r="X44" s="136">
        <f t="shared" si="2"/>
        <v>157938</v>
      </c>
      <c r="Y44" s="136">
        <f t="shared" si="3"/>
        <v>1579380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58478</v>
      </c>
      <c r="D45" s="221">
        <f>IF(Notes!$B$2="June",ROUND('Budget by Source'!D45/10,0)+S45,ROUND('Budget by Source'!D45/10,0))</f>
        <v>334564</v>
      </c>
      <c r="E45" s="221">
        <f>IF(Notes!$B$2="June",ROUND('Budget by Source'!E45/10,0)+T45,ROUND('Budget by Source'!E45/10,0))</f>
        <v>35567</v>
      </c>
      <c r="F45" s="221">
        <f>IF(Notes!$B$2="June",ROUND('Budget by Source'!F45/10,0)+U45,ROUND('Budget by Source'!F45/10,0))</f>
        <v>29122</v>
      </c>
      <c r="G45" s="221">
        <f>IF(Notes!$B$2="June",ROUND('Budget by Source'!G45/10,0)+V45,ROUND('Budget by Source'!G45/10,0))</f>
        <v>150577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IF(Notes!$B$2="June",INDEX('AEA Funding and Payments'!$A$8:$AI$332,MATCH('Payment by Source'!$A45,'AEA Funding and Payments'!$A$8:$A$332,0),34),
ROUND(INDEX('AEA Funding and Payments'!$A$8:$T$332,MATCH('Payment by Source'!$A45,'AEA Funding and Payments'!$A$8:$A$332,0),MATCH(I$5,'AEA Funding and Payments'!$A$4:$T$4,0))/10,0))</f>
        <v>12772</v>
      </c>
      <c r="J45" s="221">
        <f t="shared" si="1"/>
        <v>2993015</v>
      </c>
      <c r="K45" s="221">
        <f>INDEX(Data[],MATCH($A45,Data[Dist],0),MATCH(K$5,Data[#Headers],0))</f>
        <v>3697208</v>
      </c>
      <c r="M45" s="59">
        <f>INDEX('Payment Total'!$A$7:$H$331,MATCH('Payment by Source'!$A45,'Payment Total'!$A$7:$A$331,0),6)-K45</f>
        <v>0</v>
      </c>
      <c r="O45" s="263">
        <f t="shared" si="4"/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29986013</v>
      </c>
      <c r="X45" s="136">
        <f t="shared" si="2"/>
        <v>2998601</v>
      </c>
      <c r="Y45" s="136">
        <f t="shared" si="3"/>
        <v>29986010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6758</v>
      </c>
      <c r="D46" s="221">
        <f>IF(Notes!$B$2="June",ROUND('Budget by Source'!D46/10,0)+S46,ROUND('Budget by Source'!D46/10,0))</f>
        <v>73596</v>
      </c>
      <c r="E46" s="221">
        <f>IF(Notes!$B$2="June",ROUND('Budget by Source'!E46/10,0)+T46,ROUND('Budget by Source'!E46/10,0))</f>
        <v>3404</v>
      </c>
      <c r="F46" s="221">
        <f>IF(Notes!$B$2="June",ROUND('Budget by Source'!F46/10,0)+U46,ROUND('Budget by Source'!F46/10,0))</f>
        <v>3302</v>
      </c>
      <c r="G46" s="221">
        <f>IF(Notes!$B$2="June",ROUND('Budget by Source'!G46/10,0)+V46,ROUND('Budget by Source'!G46/10,0))</f>
        <v>16904</v>
      </c>
      <c r="H46" s="221">
        <f>INDEX('AEA Funding and Payments'!$A$8:$T$332,MATCH('Payment by Source'!$A46,'AEA Funding and Payments'!$A$8:$A$332,0),MATCH(H$5,'AEA Funding and Payments'!$A$4:$T$4,0))</f>
        <v>8990</v>
      </c>
      <c r="I46" s="221">
        <f>IF(Notes!$B$2="June",INDEX('AEA Funding and Payments'!$A$8:$AI$332,MATCH('Payment by Source'!$A46,'AEA Funding and Payments'!$A$8:$A$332,0),34),
ROUND(INDEX('AEA Funding and Payments'!$A$8:$T$332,MATCH('Payment by Source'!$A46,'AEA Funding and Payments'!$A$8:$A$332,0),MATCH(I$5,'AEA Funding and Payments'!$A$4:$T$4,0))/10,0))</f>
        <v>1448</v>
      </c>
      <c r="J46" s="221">
        <f t="shared" si="1"/>
        <v>104734</v>
      </c>
      <c r="K46" s="221">
        <f>INDEX(Data[],MATCH($A46,Data[Dist],0),MATCH(K$5,Data[#Headers],0))</f>
        <v>219136</v>
      </c>
      <c r="M46" s="59">
        <f>INDEX('Payment Total'!$A$7:$H$331,MATCH('Payment by Source'!$A46,'Payment Total'!$A$7:$A$331,0),6)-K46</f>
        <v>0</v>
      </c>
      <c r="O46" s="263">
        <f t="shared" si="4"/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1053617</v>
      </c>
      <c r="X46" s="136">
        <f t="shared" si="2"/>
        <v>105362</v>
      </c>
      <c r="Y46" s="136">
        <f t="shared" si="3"/>
        <v>1053620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7953</v>
      </c>
      <c r="D47" s="221">
        <f>IF(Notes!$B$2="June",ROUND('Budget by Source'!D47/10,0)+S47,ROUND('Budget by Source'!D47/10,0))</f>
        <v>36002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2447</v>
      </c>
      <c r="G47" s="221">
        <f>IF(Notes!$B$2="June",ROUND('Budget by Source'!G47/10,0)+V47,ROUND('Budget by Source'!G47/10,0))</f>
        <v>11214</v>
      </c>
      <c r="H47" s="221">
        <f>INDEX('AEA Funding and Payments'!$A$8:$T$332,MATCH('Payment by Source'!$A47,'AEA Funding and Payments'!$A$8:$A$332,0),MATCH(H$5,'AEA Funding and Payments'!$A$4:$T$4,0))</f>
        <v>6167</v>
      </c>
      <c r="I47" s="221">
        <f>IF(Notes!$B$2="June",INDEX('AEA Funding and Payments'!$A$8:$AI$332,MATCH('Payment by Source'!$A47,'AEA Funding and Payments'!$A$8:$A$332,0),34),
ROUND(INDEX('AEA Funding and Payments'!$A$8:$T$332,MATCH('Payment by Source'!$A47,'AEA Funding and Payments'!$A$8:$A$332,0),MATCH(I$5,'AEA Funding and Payments'!$A$4:$T$4,0))/10,0))</f>
        <v>961</v>
      </c>
      <c r="J47" s="221">
        <f t="shared" si="1"/>
        <v>153113</v>
      </c>
      <c r="K47" s="221">
        <f>INDEX(Data[],MATCH($A47,Data[Dist],0),MATCH(K$5,Data[#Headers],0))</f>
        <v>220387</v>
      </c>
      <c r="M47" s="59">
        <f>INDEX('Payment Total'!$A$7:$H$331,MATCH('Payment by Source'!$A47,'Payment Total'!$A$7:$A$331,0),6)-K47</f>
        <v>0</v>
      </c>
      <c r="O47" s="263">
        <f t="shared" si="4"/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1535207</v>
      </c>
      <c r="X47" s="136">
        <f t="shared" si="2"/>
        <v>153521</v>
      </c>
      <c r="Y47" s="136">
        <f t="shared" si="3"/>
        <v>1535210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13525</v>
      </c>
      <c r="D48" s="221">
        <f>IF(Notes!$B$2="June",ROUND('Budget by Source'!D48/10,0)+S48,ROUND('Budget by Source'!D48/10,0))</f>
        <v>50694</v>
      </c>
      <c r="E48" s="221">
        <f>IF(Notes!$B$2="June",ROUND('Budget by Source'!E48/10,0)+T48,ROUND('Budget by Source'!E48/10,0))</f>
        <v>3072</v>
      </c>
      <c r="F48" s="221">
        <f>IF(Notes!$B$2="June",ROUND('Budget by Source'!F48/10,0)+U48,ROUND('Budget by Source'!F48/10,0))</f>
        <v>2916</v>
      </c>
      <c r="G48" s="221">
        <f>IF(Notes!$B$2="June",ROUND('Budget by Source'!G48/10,0)+V48,ROUND('Budget by Source'!G48/10,0))</f>
        <v>13681</v>
      </c>
      <c r="H48" s="221">
        <f>INDEX('AEA Funding and Payments'!$A$8:$T$332,MATCH('Payment by Source'!$A48,'AEA Funding and Payments'!$A$8:$A$332,0),MATCH(H$5,'AEA Funding and Payments'!$A$4:$T$4,0))</f>
        <v>7374</v>
      </c>
      <c r="I48" s="221">
        <f>IF(Notes!$B$2="June",INDEX('AEA Funding and Payments'!$A$8:$AI$332,MATCH('Payment by Source'!$A48,'AEA Funding and Payments'!$A$8:$A$332,0),34),
ROUND(INDEX('AEA Funding and Payments'!$A$8:$T$332,MATCH('Payment by Source'!$A48,'AEA Funding and Payments'!$A$8:$A$332,0),MATCH(I$5,'AEA Funding and Payments'!$A$4:$T$4,0))/10,0))</f>
        <v>1323</v>
      </c>
      <c r="J48" s="221">
        <f t="shared" si="1"/>
        <v>190663</v>
      </c>
      <c r="K48" s="221">
        <f>INDEX(Data[],MATCH($A48,Data[Dist],0),MATCH(K$5,Data[#Headers],0))</f>
        <v>283248</v>
      </c>
      <c r="M48" s="59">
        <f>INDEX('Payment Total'!$A$7:$H$331,MATCH('Payment by Source'!$A48,'Payment Total'!$A$7:$A$331,0),6)-K48</f>
        <v>0</v>
      </c>
      <c r="O48" s="263">
        <f t="shared" si="4"/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1911944</v>
      </c>
      <c r="X48" s="136">
        <f t="shared" si="2"/>
        <v>191194</v>
      </c>
      <c r="Y48" s="136">
        <f t="shared" si="3"/>
        <v>1911940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12725</v>
      </c>
      <c r="D49" s="221">
        <f>IF(Notes!$B$2="June",ROUND('Budget by Source'!D49/10,0)+S49,ROUND('Budget by Source'!D49/10,0))</f>
        <v>113143</v>
      </c>
      <c r="E49" s="221">
        <f>IF(Notes!$B$2="June",ROUND('Budget by Source'!E49/10,0)+T49,ROUND('Budget by Source'!E49/10,0))</f>
        <v>7158</v>
      </c>
      <c r="F49" s="221">
        <f>IF(Notes!$B$2="June",ROUND('Budget by Source'!F49/10,0)+U49,ROUND('Budget by Source'!F49/10,0))</f>
        <v>6105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17327</v>
      </c>
      <c r="I49" s="221">
        <f>IF(Notes!$B$2="June",INDEX('AEA Funding and Payments'!$A$8:$AI$332,MATCH('Payment by Source'!$A49,'AEA Funding and Payments'!$A$8:$A$332,0),34),
ROUND(INDEX('AEA Funding and Payments'!$A$8:$T$332,MATCH('Payment by Source'!$A49,'AEA Funding and Payments'!$A$8:$A$332,0),MATCH(I$5,'AEA Funding and Payments'!$A$4:$T$4,0))/10,0))</f>
        <v>2685</v>
      </c>
      <c r="J49" s="221">
        <f t="shared" si="1"/>
        <v>471453</v>
      </c>
      <c r="K49" s="221">
        <f>INDEX(Data[],MATCH($A49,Data[Dist],0),MATCH(K$5,Data[#Headers],0))</f>
        <v>662394</v>
      </c>
      <c r="M49" s="59">
        <f>INDEX('Payment Total'!$A$7:$H$331,MATCH('Payment by Source'!$A49,'Payment Total'!$A$7:$A$331,0),6)-K49</f>
        <v>0</v>
      </c>
      <c r="O49" s="263">
        <f t="shared" si="4"/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4726915</v>
      </c>
      <c r="X49" s="136">
        <f t="shared" si="2"/>
        <v>472692</v>
      </c>
      <c r="Y49" s="136">
        <f t="shared" si="3"/>
        <v>4726920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26646</v>
      </c>
      <c r="D50" s="221">
        <f>IF(Notes!$B$2="June",ROUND('Budget by Source'!D50/10,0)+S50,ROUND('Budget by Source'!D50/10,0))</f>
        <v>93879</v>
      </c>
      <c r="E50" s="221">
        <f>IF(Notes!$B$2="June",ROUND('Budget by Source'!E50/10,0)+T50,ROUND('Budget by Source'!E50/10,0))</f>
        <v>4873</v>
      </c>
      <c r="F50" s="221">
        <f>IF(Notes!$B$2="June",ROUND('Budget by Source'!F50/10,0)+U50,ROUND('Budget by Source'!F50/10,0))</f>
        <v>3774</v>
      </c>
      <c r="G50" s="221">
        <f>IF(Notes!$B$2="June",ROUND('Budget by Source'!G50/10,0)+V50,ROUND('Budget by Source'!G50/10,0))</f>
        <v>21183</v>
      </c>
      <c r="H50" s="221">
        <f>INDEX('AEA Funding and Payments'!$A$8:$T$332,MATCH('Payment by Source'!$A50,'AEA Funding and Payments'!$A$8:$A$332,0),MATCH(H$5,'AEA Funding and Payments'!$A$4:$T$4,0))</f>
        <v>12024</v>
      </c>
      <c r="I50" s="221">
        <f>IF(Notes!$B$2="June",INDEX('AEA Funding and Payments'!$A$8:$AI$332,MATCH('Payment by Source'!$A50,'AEA Funding and Payments'!$A$8:$A$332,0),34),
ROUND(INDEX('AEA Funding and Payments'!$A$8:$T$332,MATCH('Payment by Source'!$A50,'AEA Funding and Payments'!$A$8:$A$332,0),MATCH(I$5,'AEA Funding and Payments'!$A$4:$T$4,0))/10,0))</f>
        <v>1833</v>
      </c>
      <c r="J50" s="221">
        <f t="shared" si="1"/>
        <v>378098</v>
      </c>
      <c r="K50" s="221">
        <f>INDEX(Data[],MATCH($A50,Data[Dist],0),MATCH(K$5,Data[#Headers],0))</f>
        <v>542310</v>
      </c>
      <c r="M50" s="59">
        <f>INDEX('Payment Total'!$A$7:$H$331,MATCH('Payment by Source'!$A50,'Payment Total'!$A$7:$A$331,0),6)-K50</f>
        <v>0</v>
      </c>
      <c r="O50" s="263">
        <f t="shared" si="4"/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3789355</v>
      </c>
      <c r="X50" s="136">
        <f t="shared" si="2"/>
        <v>378936</v>
      </c>
      <c r="Y50" s="136">
        <f t="shared" si="3"/>
        <v>3789360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37385</v>
      </c>
      <c r="D51" s="221">
        <f>IF(Notes!$B$2="June",ROUND('Budget by Source'!D51/10,0)+S51,ROUND('Budget by Source'!D51/10,0))</f>
        <v>156303</v>
      </c>
      <c r="E51" s="221">
        <f>IF(Notes!$B$2="June",ROUND('Budget by Source'!E51/10,0)+T51,ROUND('Budget by Source'!E51/10,0))</f>
        <v>16187</v>
      </c>
      <c r="F51" s="221">
        <f>IF(Notes!$B$2="June",ROUND('Budget by Source'!F51/10,0)+U51,ROUND('Budget by Source'!F51/10,0))</f>
        <v>13772</v>
      </c>
      <c r="G51" s="221">
        <f>IF(Notes!$B$2="June",ROUND('Budget by Source'!G51/10,0)+V51,ROUND('Budget by Source'!G51/10,0))</f>
        <v>76563</v>
      </c>
      <c r="H51" s="221">
        <f>INDEX('AEA Funding and Payments'!$A$8:$T$332,MATCH('Payment by Source'!$A51,'AEA Funding and Payments'!$A$8:$A$332,0),MATCH(H$5,'AEA Funding and Payments'!$A$4:$T$4,0))</f>
        <v>40414</v>
      </c>
      <c r="I51" s="221">
        <f>IF(Notes!$B$2="June",INDEX('AEA Funding and Payments'!$A$8:$AI$332,MATCH('Payment by Source'!$A51,'AEA Funding and Payments'!$A$8:$A$332,0),34),
ROUND(INDEX('AEA Funding and Payments'!$A$8:$T$332,MATCH('Payment by Source'!$A51,'AEA Funding and Payments'!$A$8:$A$332,0),MATCH(I$5,'AEA Funding and Payments'!$A$4:$T$4,0))/10,0))</f>
        <v>6117</v>
      </c>
      <c r="J51" s="221">
        <f t="shared" si="1"/>
        <v>1400066</v>
      </c>
      <c r="K51" s="221">
        <f>INDEX(Data[],MATCH($A51,Data[Dist],0),MATCH(K$5,Data[#Headers],0))</f>
        <v>1746807</v>
      </c>
      <c r="M51" s="59">
        <f>INDEX('Payment Total'!$A$7:$H$331,MATCH('Payment by Source'!$A51,'Payment Total'!$A$7:$A$331,0),6)-K51</f>
        <v>0</v>
      </c>
      <c r="O51" s="263">
        <f t="shared" si="4"/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14029872</v>
      </c>
      <c r="X51" s="136">
        <f t="shared" si="2"/>
        <v>1402987</v>
      </c>
      <c r="Y51" s="136">
        <f t="shared" si="3"/>
        <v>14029870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69998</v>
      </c>
      <c r="D52" s="221">
        <f>IF(Notes!$B$2="June",ROUND('Budget by Source'!D52/10,0)+S52,ROUND('Budget by Source'!D52/10,0))</f>
        <v>175956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16995</v>
      </c>
      <c r="G52" s="221">
        <f>IF(Notes!$B$2="June",ROUND('Budget by Source'!G52/10,0)+V52,ROUND('Budget by Source'!G52/10,0))</f>
        <v>85575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IF(Notes!$B$2="June",INDEX('AEA Funding and Payments'!$A$8:$AI$332,MATCH('Payment by Source'!$A52,'AEA Funding and Payments'!$A$8:$A$332,0),34),
ROUND(INDEX('AEA Funding and Payments'!$A$8:$T$332,MATCH('Payment by Source'!$A52,'AEA Funding and Payments'!$A$8:$A$332,0),MATCH(I$5,'AEA Funding and Payments'!$A$4:$T$4,0))/10,0))</f>
        <v>5243</v>
      </c>
      <c r="J52" s="221">
        <f t="shared" si="1"/>
        <v>708495</v>
      </c>
      <c r="K52" s="221">
        <f>INDEX(Data[],MATCH($A52,Data[Dist],0),MATCH(K$5,Data[#Headers],0))</f>
        <v>1113876</v>
      </c>
      <c r="M52" s="59">
        <f>INDEX('Payment Total'!$A$7:$H$331,MATCH('Payment by Source'!$A52,'Payment Total'!$A$7:$A$331,0),6)-K52</f>
        <v>0</v>
      </c>
      <c r="O52" s="263">
        <f t="shared" si="4"/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7108403</v>
      </c>
      <c r="X52" s="136">
        <f t="shared" si="2"/>
        <v>710840</v>
      </c>
      <c r="Y52" s="136">
        <f t="shared" si="3"/>
        <v>7108400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72784</v>
      </c>
      <c r="D53" s="221">
        <f>IF(Notes!$B$2="June",ROUND('Budget by Source'!D53/10,0)+S53,ROUND('Budget by Source'!D53/10,0))</f>
        <v>418877</v>
      </c>
      <c r="E53" s="221">
        <f>IF(Notes!$B$2="June",ROUND('Budget by Source'!E53/10,0)+T53,ROUND('Budget by Source'!E53/10,0))</f>
        <v>45956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220569</v>
      </c>
      <c r="H53" s="221">
        <f>INDEX('AEA Funding and Payments'!$A$8:$T$332,MATCH('Payment by Source'!$A53,'AEA Funding and Payments'!$A$8:$A$332,0),MATCH(H$5,'AEA Funding and Payments'!$A$4:$T$4,0))</f>
        <v>117616</v>
      </c>
      <c r="I53" s="221">
        <f>IF(Notes!$B$2="June",INDEX('AEA Funding and Payments'!$A$8:$AI$332,MATCH('Payment by Source'!$A53,'AEA Funding and Payments'!$A$8:$A$332,0),34),
ROUND(INDEX('AEA Funding and Payments'!$A$8:$T$332,MATCH('Payment by Source'!$A53,'AEA Funding and Payments'!$A$8:$A$332,0),MATCH(I$5,'AEA Funding and Payments'!$A$4:$T$4,0))/10,0))</f>
        <v>18395</v>
      </c>
      <c r="J53" s="221">
        <f t="shared" si="1"/>
        <v>3339702</v>
      </c>
      <c r="K53" s="221">
        <f>INDEX(Data[],MATCH($A53,Data[Dist],0),MATCH(K$5,Data[#Headers],0))</f>
        <v>4279331</v>
      </c>
      <c r="M53" s="59">
        <f>INDEX('Payment Total'!$A$7:$H$331,MATCH('Payment by Source'!$A53,'Payment Total'!$A$7:$A$331,0),6)-K53</f>
        <v>0</v>
      </c>
      <c r="O53" s="263">
        <f t="shared" si="4"/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33480009</v>
      </c>
      <c r="X53" s="136">
        <f t="shared" si="2"/>
        <v>3348001</v>
      </c>
      <c r="Y53" s="136">
        <f t="shared" si="3"/>
        <v>33480010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1284620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137746</v>
      </c>
      <c r="G54" s="221">
        <f>IF(Notes!$B$2="June",ROUND('Budget by Source'!G54/10,0)+V54,ROUND('Budget by Source'!G54/10,0))</f>
        <v>672246</v>
      </c>
      <c r="H54" s="221">
        <f>INDEX('AEA Funding and Payments'!$A$8:$T$332,MATCH('Payment by Source'!$A54,'AEA Funding and Payments'!$A$8:$A$332,0),MATCH(H$5,'AEA Funding and Payments'!$A$4:$T$4,0))</f>
        <v>349963</v>
      </c>
      <c r="I54" s="221">
        <f>IF(Notes!$B$2="June",INDEX('AEA Funding and Payments'!$A$8:$AI$332,MATCH('Payment by Source'!$A54,'AEA Funding and Payments'!$A$8:$A$332,0),34),
ROUND(INDEX('AEA Funding and Payments'!$A$8:$T$332,MATCH('Payment by Source'!$A54,'AEA Funding and Payments'!$A$8:$A$332,0),MATCH(I$5,'AEA Funding and Payments'!$A$4:$T$4,0))/10,0))</f>
        <v>53811</v>
      </c>
      <c r="J54" s="221">
        <f t="shared" si="1"/>
        <v>10464666</v>
      </c>
      <c r="K54" s="221">
        <f>INDEX(Data[],MATCH($A54,Data[Dist],0),MATCH(K$5,Data[#Headers],0))</f>
        <v>13371489</v>
      </c>
      <c r="M54" s="59">
        <f>INDEX('Payment Total'!$A$7:$H$331,MATCH('Payment by Source'!$A54,'Payment Total'!$A$7:$A$331,0),6)-K54</f>
        <v>0</v>
      </c>
      <c r="O54" s="263">
        <f t="shared" si="4"/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104891661</v>
      </c>
      <c r="X54" s="136">
        <f t="shared" si="2"/>
        <v>10489166</v>
      </c>
      <c r="Y54" s="136">
        <f t="shared" si="3"/>
        <v>104891660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28235</v>
      </c>
      <c r="D55" s="221">
        <f>IF(Notes!$B$2="June",ROUND('Budget by Source'!D55/10,0)+S55,ROUND('Budget by Source'!D55/10,0))</f>
        <v>102598</v>
      </c>
      <c r="E55" s="221">
        <f>IF(Notes!$B$2="June",ROUND('Budget by Source'!E55/10,0)+T55,ROUND('Budget by Source'!E55/10,0))</f>
        <v>9076</v>
      </c>
      <c r="F55" s="221">
        <f>IF(Notes!$B$2="June",ROUND('Budget by Source'!F55/10,0)+U55,ROUND('Budget by Source'!F55/10,0))</f>
        <v>8735</v>
      </c>
      <c r="G55" s="221">
        <f>IF(Notes!$B$2="June",ROUND('Budget by Source'!G55/10,0)+V55,ROUND('Budget by Source'!G55/10,0))</f>
        <v>44544</v>
      </c>
      <c r="H55" s="221">
        <f>INDEX('AEA Funding and Payments'!$A$8:$T$332,MATCH('Payment by Source'!$A55,'AEA Funding and Payments'!$A$8:$A$332,0),MATCH(H$5,'AEA Funding and Payments'!$A$4:$T$4,0))</f>
        <v>22603</v>
      </c>
      <c r="I55" s="221">
        <f>IF(Notes!$B$2="June",INDEX('AEA Funding and Payments'!$A$8:$AI$332,MATCH('Payment by Source'!$A55,'AEA Funding and Payments'!$A$8:$A$332,0),34),
ROUND(INDEX('AEA Funding and Payments'!$A$8:$T$332,MATCH('Payment by Source'!$A55,'AEA Funding and Payments'!$A$8:$A$332,0),MATCH(I$5,'AEA Funding and Payments'!$A$4:$T$4,0))/10,0))</f>
        <v>3892</v>
      </c>
      <c r="J55" s="221">
        <f t="shared" si="1"/>
        <v>708449</v>
      </c>
      <c r="K55" s="221">
        <f>INDEX(Data[],MATCH($A55,Data[Dist],0),MATCH(K$5,Data[#Headers],0))</f>
        <v>928132</v>
      </c>
      <c r="M55" s="59">
        <f>INDEX('Payment Total'!$A$7:$H$331,MATCH('Payment by Source'!$A55,'Payment Total'!$A$7:$A$331,0),6)-K55</f>
        <v>0</v>
      </c>
      <c r="O55" s="263">
        <f t="shared" si="4"/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7101627</v>
      </c>
      <c r="X55" s="136">
        <f t="shared" si="2"/>
        <v>710163</v>
      </c>
      <c r="Y55" s="136">
        <f t="shared" si="3"/>
        <v>7101630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25055</v>
      </c>
      <c r="D56" s="221">
        <f>IF(Notes!$B$2="June",ROUND('Budget by Source'!D56/10,0)+S56,ROUND('Budget by Source'!D56/10,0))</f>
        <v>114504</v>
      </c>
      <c r="E56" s="221">
        <f>IF(Notes!$B$2="June",ROUND('Budget by Source'!E56/10,0)+T56,ROUND('Budget by Source'!E56/10,0))</f>
        <v>10852</v>
      </c>
      <c r="F56" s="221">
        <f>IF(Notes!$B$2="June",ROUND('Budget by Source'!F56/10,0)+U56,ROUND('Budget by Source'!F56/10,0))</f>
        <v>10228</v>
      </c>
      <c r="G56" s="221">
        <f>IF(Notes!$B$2="June",ROUND('Budget by Source'!G56/10,0)+V56,ROUND('Budget by Source'!G56/10,0))</f>
        <v>50261</v>
      </c>
      <c r="H56" s="221">
        <f>INDEX('AEA Funding and Payments'!$A$8:$T$332,MATCH('Payment by Source'!$A56,'AEA Funding and Payments'!$A$8:$A$332,0),MATCH(H$5,'AEA Funding and Payments'!$A$4:$T$4,0))</f>
        <v>26942</v>
      </c>
      <c r="I56" s="221">
        <f>IF(Notes!$B$2="June",INDEX('AEA Funding and Payments'!$A$8:$AI$332,MATCH('Payment by Source'!$A56,'AEA Funding and Payments'!$A$8:$A$332,0),34),
ROUND(INDEX('AEA Funding and Payments'!$A$8:$T$332,MATCH('Payment by Source'!$A56,'AEA Funding and Payments'!$A$8:$A$332,0),MATCH(I$5,'AEA Funding and Payments'!$A$4:$T$4,0))/10,0))</f>
        <v>4289</v>
      </c>
      <c r="J56" s="221">
        <f t="shared" si="1"/>
        <v>934326</v>
      </c>
      <c r="K56" s="221">
        <f>INDEX(Data[],MATCH($A56,Data[Dist],0),MATCH(K$5,Data[#Headers],0))</f>
        <v>1176457</v>
      </c>
      <c r="M56" s="59">
        <f>INDEX('Payment Total'!$A$7:$H$331,MATCH('Payment by Source'!$A56,'Payment Total'!$A$7:$A$331,0),6)-K56</f>
        <v>0</v>
      </c>
      <c r="O56" s="263">
        <f t="shared" si="4"/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9362532</v>
      </c>
      <c r="X56" s="136">
        <f t="shared" si="2"/>
        <v>936253</v>
      </c>
      <c r="Y56" s="136">
        <f t="shared" si="3"/>
        <v>9362530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21874</v>
      </c>
      <c r="D57" s="221">
        <f>IF(Notes!$B$2="June",ROUND('Budget by Source'!D57/10,0)+S57,ROUND('Budget by Source'!D57/10,0))</f>
        <v>83397</v>
      </c>
      <c r="E57" s="221">
        <f>IF(Notes!$B$2="June",ROUND('Budget by Source'!E57/10,0)+T57,ROUND('Budget by Source'!E57/10,0))</f>
        <v>6814</v>
      </c>
      <c r="F57" s="221">
        <f>IF(Notes!$B$2="June",ROUND('Budget by Source'!F57/10,0)+U57,ROUND('Budget by Source'!F57/10,0))</f>
        <v>7714</v>
      </c>
      <c r="G57" s="221">
        <f>IF(Notes!$B$2="June",ROUND('Budget by Source'!G57/10,0)+V57,ROUND('Budget by Source'!G57/10,0))</f>
        <v>33129</v>
      </c>
      <c r="H57" s="221">
        <f>INDEX('AEA Funding and Payments'!$A$8:$T$332,MATCH('Payment by Source'!$A57,'AEA Funding and Payments'!$A$8:$A$332,0),MATCH(H$5,'AEA Funding and Payments'!$A$4:$T$4,0))</f>
        <v>17814</v>
      </c>
      <c r="I57" s="221">
        <f>IF(Notes!$B$2="June",INDEX('AEA Funding and Payments'!$A$8:$AI$332,MATCH('Payment by Source'!$A57,'AEA Funding and Payments'!$A$8:$A$332,0),34),
ROUND(INDEX('AEA Funding and Payments'!$A$8:$T$332,MATCH('Payment by Source'!$A57,'AEA Funding and Payments'!$A$8:$A$332,0),MATCH(I$5,'AEA Funding and Payments'!$A$4:$T$4,0))/10,0))</f>
        <v>2723</v>
      </c>
      <c r="J57" s="221">
        <f t="shared" si="1"/>
        <v>467235</v>
      </c>
      <c r="K57" s="221">
        <f>INDEX(Data[],MATCH($A57,Data[Dist],0),MATCH(K$5,Data[#Headers],0))</f>
        <v>640700</v>
      </c>
      <c r="M57" s="59">
        <f>INDEX('Payment Total'!$A$7:$H$331,MATCH('Payment by Source'!$A57,'Payment Total'!$A$7:$A$331,0),6)-K57</f>
        <v>0</v>
      </c>
      <c r="O57" s="263">
        <f t="shared" si="4"/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4685212</v>
      </c>
      <c r="X57" s="136">
        <f t="shared" si="2"/>
        <v>468521</v>
      </c>
      <c r="Y57" s="136">
        <f t="shared" si="3"/>
        <v>4685210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11530</v>
      </c>
      <c r="D58" s="221">
        <f>IF(Notes!$B$2="June",ROUND('Budget by Source'!D58/10,0)+S58,ROUND('Budget by Source'!D58/10,0))</f>
        <v>52343</v>
      </c>
      <c r="E58" s="221">
        <f>IF(Notes!$B$2="June",ROUND('Budget by Source'!E58/10,0)+T58,ROUND('Budget by Source'!E58/10,0))</f>
        <v>3371</v>
      </c>
      <c r="F58" s="221">
        <f>IF(Notes!$B$2="June",ROUND('Budget by Source'!F58/10,0)+U58,ROUND('Budget by Source'!F58/10,0))</f>
        <v>3360</v>
      </c>
      <c r="G58" s="221">
        <f>IF(Notes!$B$2="June",ROUND('Budget by Source'!G58/10,0)+V58,ROUND('Budget by Source'!G58/10,0))</f>
        <v>17650</v>
      </c>
      <c r="H58" s="221">
        <f>INDEX('AEA Funding and Payments'!$A$8:$T$332,MATCH('Payment by Source'!$A58,'AEA Funding and Payments'!$A$8:$A$332,0),MATCH(H$5,'AEA Funding and Payments'!$A$4:$T$4,0))</f>
        <v>9733</v>
      </c>
      <c r="I58" s="221">
        <f>IF(Notes!$B$2="June",INDEX('AEA Funding and Payments'!$A$8:$AI$332,MATCH('Payment by Source'!$A58,'AEA Funding and Payments'!$A$8:$A$332,0),34),
ROUND(INDEX('AEA Funding and Payments'!$A$8:$T$332,MATCH('Payment by Source'!$A58,'AEA Funding and Payments'!$A$8:$A$332,0),MATCH(I$5,'AEA Funding and Payments'!$A$4:$T$4,0))/10,0))</f>
        <v>1606</v>
      </c>
      <c r="J58" s="221">
        <f t="shared" si="1"/>
        <v>278236</v>
      </c>
      <c r="K58" s="221">
        <f>INDEX(Data[],MATCH($A58,Data[Dist],0),MATCH(K$5,Data[#Headers],0))</f>
        <v>377829</v>
      </c>
      <c r="M58" s="59">
        <f>INDEX('Payment Total'!$A$7:$H$331,MATCH('Payment by Source'!$A58,'Payment Total'!$A$7:$A$331,0),6)-K58</f>
        <v>0</v>
      </c>
      <c r="O58" s="263">
        <f t="shared" si="4"/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2789175</v>
      </c>
      <c r="X58" s="136">
        <f t="shared" si="2"/>
        <v>278918</v>
      </c>
      <c r="Y58" s="136">
        <f t="shared" si="3"/>
        <v>2789180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36594</v>
      </c>
      <c r="D59" s="221">
        <f>IF(Notes!$B$2="June",ROUND('Budget by Source'!D59/10,0)+S59,ROUND('Budget by Source'!D59/10,0))</f>
        <v>174324</v>
      </c>
      <c r="E59" s="221">
        <f>IF(Notes!$B$2="June",ROUND('Budget by Source'!E59/10,0)+T59,ROUND('Budget by Source'!E59/10,0))</f>
        <v>11677</v>
      </c>
      <c r="F59" s="221">
        <f>IF(Notes!$B$2="June",ROUND('Budget by Source'!F59/10,0)+U59,ROUND('Budget by Source'!F59/10,0))</f>
        <v>12071</v>
      </c>
      <c r="G59" s="221">
        <f>IF(Notes!$B$2="June",ROUND('Budget by Source'!G59/10,0)+V59,ROUND('Budget by Source'!G59/10,0))</f>
        <v>60971</v>
      </c>
      <c r="H59" s="221">
        <f>INDEX('AEA Funding and Payments'!$A$8:$T$332,MATCH('Payment by Source'!$A59,'AEA Funding and Payments'!$A$8:$A$332,0),MATCH(H$5,'AEA Funding and Payments'!$A$4:$T$4,0))</f>
        <v>30946</v>
      </c>
      <c r="I59" s="221">
        <f>IF(Notes!$B$2="June",INDEX('AEA Funding and Payments'!$A$8:$AI$332,MATCH('Payment by Source'!$A59,'AEA Funding and Payments'!$A$8:$A$332,0),34),
ROUND(INDEX('AEA Funding and Payments'!$A$8:$T$332,MATCH('Payment by Source'!$A59,'AEA Funding and Payments'!$A$8:$A$332,0),MATCH(I$5,'AEA Funding and Payments'!$A$4:$T$4,0))/10,0))</f>
        <v>4796</v>
      </c>
      <c r="J59" s="221">
        <f t="shared" si="1"/>
        <v>876307</v>
      </c>
      <c r="K59" s="221">
        <f>INDEX(Data[],MATCH($A59,Data[Dist],0),MATCH(K$5,Data[#Headers],0))</f>
        <v>1207686</v>
      </c>
      <c r="M59" s="59">
        <f>INDEX('Payment Total'!$A$7:$H$331,MATCH('Payment by Source'!$A59,'Payment Total'!$A$7:$A$331,0),6)-K59</f>
        <v>0</v>
      </c>
      <c r="O59" s="263">
        <f t="shared" si="4"/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8785351</v>
      </c>
      <c r="X59" s="136">
        <f t="shared" si="2"/>
        <v>878535</v>
      </c>
      <c r="Y59" s="136">
        <f t="shared" si="3"/>
        <v>8785350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7558</v>
      </c>
      <c r="D60" s="221">
        <f>IF(Notes!$B$2="June",ROUND('Budget by Source'!D60/10,0)+S60,ROUND('Budget by Source'!D60/10,0))</f>
        <v>63284</v>
      </c>
      <c r="E60" s="221">
        <f>IF(Notes!$B$2="June",ROUND('Budget by Source'!E60/10,0)+T60,ROUND('Budget by Source'!E60/10,0))</f>
        <v>3468</v>
      </c>
      <c r="F60" s="221">
        <f>IF(Notes!$B$2="June",ROUND('Budget by Source'!F60/10,0)+U60,ROUND('Budget by Source'!F60/10,0))</f>
        <v>3067</v>
      </c>
      <c r="G60" s="221">
        <f>IF(Notes!$B$2="June",ROUND('Budget by Source'!G60/10,0)+V60,ROUND('Budget by Source'!G60/10,0))</f>
        <v>16159</v>
      </c>
      <c r="H60" s="221">
        <f>INDEX('AEA Funding and Payments'!$A$8:$T$332,MATCH('Payment by Source'!$A60,'AEA Funding and Payments'!$A$8:$A$332,0),MATCH(H$5,'AEA Funding and Payments'!$A$4:$T$4,0))</f>
        <v>8377</v>
      </c>
      <c r="I60" s="221">
        <f>IF(Notes!$B$2="June",INDEX('AEA Funding and Payments'!$A$8:$AI$332,MATCH('Payment by Source'!$A60,'AEA Funding and Payments'!$A$8:$A$332,0),34),
ROUND(INDEX('AEA Funding and Payments'!$A$8:$T$332,MATCH('Payment by Source'!$A60,'AEA Funding and Payments'!$A$8:$A$332,0),MATCH(I$5,'AEA Funding and Payments'!$A$4:$T$4,0))/10,0))</f>
        <v>1385</v>
      </c>
      <c r="J60" s="221">
        <f t="shared" si="1"/>
        <v>250875</v>
      </c>
      <c r="K60" s="221">
        <f>INDEX(Data[],MATCH($A60,Data[Dist],0),MATCH(K$5,Data[#Headers],0))</f>
        <v>354173</v>
      </c>
      <c r="M60" s="59">
        <f>INDEX('Payment Total'!$A$7:$H$331,MATCH('Payment by Source'!$A60,'Payment Total'!$A$7:$A$331,0),6)-K60</f>
        <v>0</v>
      </c>
      <c r="O60" s="263">
        <f t="shared" si="4"/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2515038</v>
      </c>
      <c r="X60" s="136">
        <f t="shared" si="2"/>
        <v>251504</v>
      </c>
      <c r="Y60" s="136">
        <f t="shared" si="3"/>
        <v>2515040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76979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4605</v>
      </c>
      <c r="G61" s="221">
        <f>IF(Notes!$B$2="June",ROUND('Budget by Source'!G61/10,0)+V61,ROUND('Budget by Source'!G61/10,0))</f>
        <v>23891</v>
      </c>
      <c r="H61" s="221">
        <f>INDEX('AEA Funding and Payments'!$A$8:$T$332,MATCH('Payment by Source'!$A61,'AEA Funding and Payments'!$A$8:$A$332,0),MATCH(H$5,'AEA Funding and Payments'!$A$4:$T$4,0))</f>
        <v>13285</v>
      </c>
      <c r="I61" s="221">
        <f>IF(Notes!$B$2="June",INDEX('AEA Funding and Payments'!$A$8:$AI$332,MATCH('Payment by Source'!$A61,'AEA Funding and Payments'!$A$8:$A$332,0),34),
ROUND(INDEX('AEA Funding and Payments'!$A$8:$T$332,MATCH('Payment by Source'!$A61,'AEA Funding and Payments'!$A$8:$A$332,0),MATCH(I$5,'AEA Funding and Payments'!$A$4:$T$4,0))/10,0))</f>
        <v>2155</v>
      </c>
      <c r="J61" s="221">
        <f t="shared" si="1"/>
        <v>462203</v>
      </c>
      <c r="K61" s="221">
        <f>INDEX(Data[],MATCH($A61,Data[Dist],0),MATCH(K$5,Data[#Headers],0))</f>
        <v>601292</v>
      </c>
      <c r="M61" s="59">
        <f>INDEX('Payment Total'!$A$7:$H$331,MATCH('Payment by Source'!$A61,'Payment Total'!$A$7:$A$331,0),6)-K61</f>
        <v>0</v>
      </c>
      <c r="O61" s="263">
        <f t="shared" si="4"/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4631213</v>
      </c>
      <c r="X61" s="136">
        <f t="shared" si="2"/>
        <v>463121</v>
      </c>
      <c r="Y61" s="136">
        <f t="shared" si="3"/>
        <v>4631210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18297</v>
      </c>
      <c r="D62" s="221">
        <f>IF(Notes!$B$2="June",ROUND('Budget by Source'!D62/10,0)+S62,ROUND('Budget by Source'!D62/10,0))</f>
        <v>99721</v>
      </c>
      <c r="E62" s="221">
        <f>IF(Notes!$B$2="June",ROUND('Budget by Source'!E62/10,0)+T62,ROUND('Budget by Source'!E62/10,0))</f>
        <v>6214</v>
      </c>
      <c r="F62" s="221">
        <f>IF(Notes!$B$2="June",ROUND('Budget by Source'!F62/10,0)+U62,ROUND('Budget by Source'!F62/10,0))</f>
        <v>6539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14859</v>
      </c>
      <c r="I62" s="221">
        <f>IF(Notes!$B$2="June",INDEX('AEA Funding and Payments'!$A$8:$AI$332,MATCH('Payment by Source'!$A62,'AEA Funding and Payments'!$A$8:$A$332,0),34),
ROUND(INDEX('AEA Funding and Payments'!$A$8:$T$332,MATCH('Payment by Source'!$A62,'AEA Funding and Payments'!$A$8:$A$332,0),MATCH(I$5,'AEA Funding and Payments'!$A$4:$T$4,0))/10,0))</f>
        <v>2488</v>
      </c>
      <c r="J62" s="221">
        <f t="shared" si="1"/>
        <v>373832</v>
      </c>
      <c r="K62" s="221">
        <f>INDEX(Data[],MATCH($A62,Data[Dist],0),MATCH(K$5,Data[#Headers],0))</f>
        <v>554769</v>
      </c>
      <c r="M62" s="59">
        <f>INDEX('Payment Total'!$A$7:$H$331,MATCH('Payment by Source'!$A62,'Payment Total'!$A$7:$A$331,0),6)-K62</f>
        <v>0</v>
      </c>
      <c r="O62" s="263">
        <f t="shared" si="4"/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3749463</v>
      </c>
      <c r="X62" s="136">
        <f t="shared" si="2"/>
        <v>374946</v>
      </c>
      <c r="Y62" s="136">
        <f t="shared" si="3"/>
        <v>3749460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15116</v>
      </c>
      <c r="D63" s="221">
        <f>IF(Notes!$B$2="June",ROUND('Budget by Source'!D63/10,0)+S63,ROUND('Budget by Source'!D63/10,0))</f>
        <v>115960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9693</v>
      </c>
      <c r="G63" s="221">
        <f>IF(Notes!$B$2="June",ROUND('Budget by Source'!G63/10,0)+V63,ROUND('Budget by Source'!G63/10,0))</f>
        <v>51264</v>
      </c>
      <c r="H63" s="221">
        <f>INDEX('AEA Funding and Payments'!$A$8:$T$332,MATCH('Payment by Source'!$A63,'AEA Funding and Payments'!$A$8:$A$332,0),MATCH(H$5,'AEA Funding and Payments'!$A$4:$T$4,0))</f>
        <v>27792</v>
      </c>
      <c r="I63" s="221">
        <f>IF(Notes!$B$2="June",INDEX('AEA Funding and Payments'!$A$8:$AI$332,MATCH('Payment by Source'!$A63,'AEA Funding and Payments'!$A$8:$A$332,0),34),
ROUND(INDEX('AEA Funding and Payments'!$A$8:$T$332,MATCH('Payment by Source'!$A63,'AEA Funding and Payments'!$A$8:$A$332,0),MATCH(I$5,'AEA Funding and Payments'!$A$4:$T$4,0))/10,0))</f>
        <v>4248</v>
      </c>
      <c r="J63" s="221">
        <f t="shared" si="1"/>
        <v>909481</v>
      </c>
      <c r="K63" s="221">
        <f>INDEX(Data[],MATCH($A63,Data[Dist],0),MATCH(K$5,Data[#Headers],0))</f>
        <v>1145741</v>
      </c>
      <c r="M63" s="59">
        <f>INDEX('Payment Total'!$A$7:$H$331,MATCH('Payment by Source'!$A63,'Payment Total'!$A$7:$A$331,0),6)-K63</f>
        <v>0</v>
      </c>
      <c r="O63" s="263">
        <f t="shared" si="4"/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9114909</v>
      </c>
      <c r="X63" s="136">
        <f t="shared" si="2"/>
        <v>911491</v>
      </c>
      <c r="Y63" s="136">
        <f t="shared" si="3"/>
        <v>9114910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23860</v>
      </c>
      <c r="D64" s="221">
        <f>IF(Notes!$B$2="June",ROUND('Budget by Source'!D64/10,0)+S64,ROUND('Budget by Source'!D64/10,0))</f>
        <v>130356</v>
      </c>
      <c r="E64" s="221">
        <f>IF(Notes!$B$2="June",ROUND('Budget by Source'!E64/10,0)+T64,ROUND('Budget by Source'!E64/10,0))</f>
        <v>12873</v>
      </c>
      <c r="F64" s="221">
        <f>IF(Notes!$B$2="June",ROUND('Budget by Source'!F64/10,0)+U64,ROUND('Budget by Source'!F64/10,0))</f>
        <v>12846</v>
      </c>
      <c r="G64" s="221">
        <f>IF(Notes!$B$2="June",ROUND('Budget by Source'!G64/10,0)+V64,ROUND('Budget by Source'!G64/10,0))</f>
        <v>61757</v>
      </c>
      <c r="H64" s="221">
        <f>INDEX('AEA Funding and Payments'!$A$8:$T$332,MATCH('Payment by Source'!$A64,'AEA Funding and Payments'!$A$8:$A$332,0),MATCH(H$5,'AEA Funding and Payments'!$A$4:$T$4,0))</f>
        <v>32143</v>
      </c>
      <c r="I64" s="221">
        <f>IF(Notes!$B$2="June",INDEX('AEA Funding and Payments'!$A$8:$AI$332,MATCH('Payment by Source'!$A64,'AEA Funding and Payments'!$A$8:$A$332,0),34),
ROUND(INDEX('AEA Funding and Payments'!$A$8:$T$332,MATCH('Payment by Source'!$A64,'AEA Funding and Payments'!$A$8:$A$332,0),MATCH(I$5,'AEA Funding and Payments'!$A$4:$T$4,0))/10,0))</f>
        <v>5122</v>
      </c>
      <c r="J64" s="221">
        <f t="shared" si="1"/>
        <v>928924</v>
      </c>
      <c r="K64" s="221">
        <f>INDEX(Data[],MATCH($A64,Data[Dist],0),MATCH(K$5,Data[#Headers],0))</f>
        <v>1207881</v>
      </c>
      <c r="M64" s="59">
        <f>INDEX('Payment Total'!$A$7:$H$331,MATCH('Payment by Source'!$A64,'Payment Total'!$A$7:$A$331,0),6)-K64</f>
        <v>0</v>
      </c>
      <c r="O64" s="263">
        <f t="shared" si="4"/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9310795</v>
      </c>
      <c r="X64" s="136">
        <f t="shared" si="2"/>
        <v>931080</v>
      </c>
      <c r="Y64" s="136">
        <f t="shared" si="3"/>
        <v>9310800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4377</v>
      </c>
      <c r="D65" s="221">
        <f>IF(Notes!$B$2="June",ROUND('Budget by Source'!D65/10,0)+S65,ROUND('Budget by Source'!D65/10,0))</f>
        <v>36066</v>
      </c>
      <c r="E65" s="221">
        <f>IF(Notes!$B$2="June",ROUND('Budget by Source'!E65/10,0)+T65,ROUND('Budget by Source'!E65/10,0))</f>
        <v>2532</v>
      </c>
      <c r="F65" s="221">
        <f>IF(Notes!$B$2="June",ROUND('Budget by Source'!F65/10,0)+U65,ROUND('Budget by Source'!F65/10,0))</f>
        <v>2311</v>
      </c>
      <c r="G65" s="221">
        <f>IF(Notes!$B$2="June",ROUND('Budget by Source'!G65/10,0)+V65,ROUND('Budget by Source'!G65/10,0))</f>
        <v>11187</v>
      </c>
      <c r="H65" s="221">
        <f>INDEX('AEA Funding and Payments'!$A$8:$T$332,MATCH('Payment by Source'!$A65,'AEA Funding and Payments'!$A$8:$A$332,0),MATCH(H$5,'AEA Funding and Payments'!$A$4:$T$4,0))</f>
        <v>6376</v>
      </c>
      <c r="I65" s="221">
        <f>IF(Notes!$B$2="June",INDEX('AEA Funding and Payments'!$A$8:$AI$332,MATCH('Payment by Source'!$A65,'AEA Funding and Payments'!$A$8:$A$332,0),34),
ROUND(INDEX('AEA Funding and Payments'!$A$8:$T$332,MATCH('Payment by Source'!$A65,'AEA Funding and Payments'!$A$8:$A$332,0),MATCH(I$5,'AEA Funding and Payments'!$A$4:$T$4,0))/10,0))</f>
        <v>1006</v>
      </c>
      <c r="J65" s="221">
        <f t="shared" si="1"/>
        <v>143742</v>
      </c>
      <c r="K65" s="221">
        <f>INDEX(Data[],MATCH($A65,Data[Dist],0),MATCH(K$5,Data[#Headers],0))</f>
        <v>207597</v>
      </c>
      <c r="M65" s="59">
        <f>INDEX('Payment Total'!$A$7:$H$331,MATCH('Payment by Source'!$A65,'Payment Total'!$A$7:$A$331,0),6)-K65</f>
        <v>0</v>
      </c>
      <c r="O65" s="263">
        <f t="shared" si="4"/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1441752</v>
      </c>
      <c r="X65" s="136">
        <f t="shared" si="2"/>
        <v>144175</v>
      </c>
      <c r="Y65" s="136">
        <f t="shared" si="3"/>
        <v>1441750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90246</v>
      </c>
      <c r="E66" s="221">
        <f>IF(Notes!$B$2="June",ROUND('Budget by Source'!E66/10,0)+T66,ROUND('Budget by Source'!E66/10,0))</f>
        <v>8592</v>
      </c>
      <c r="F66" s="221">
        <f>IF(Notes!$B$2="June",ROUND('Budget by Source'!F66/10,0)+U66,ROUND('Budget by Source'!F66/10,0))</f>
        <v>8020</v>
      </c>
      <c r="G66" s="221">
        <f>IF(Notes!$B$2="June",ROUND('Budget by Source'!G66/10,0)+V66,ROUND('Budget by Source'!G66/10,0))</f>
        <v>39335</v>
      </c>
      <c r="H66" s="221">
        <f>INDEX('AEA Funding and Payments'!$A$8:$T$332,MATCH('Payment by Source'!$A66,'AEA Funding and Payments'!$A$8:$A$332,0),MATCH(H$5,'AEA Funding and Payments'!$A$4:$T$4,0))</f>
        <v>22283</v>
      </c>
      <c r="I66" s="221">
        <f>IF(Notes!$B$2="June",INDEX('AEA Funding and Payments'!$A$8:$AI$332,MATCH('Payment by Source'!$A66,'AEA Funding and Payments'!$A$8:$A$332,0),34),
ROUND(INDEX('AEA Funding and Payments'!$A$8:$T$332,MATCH('Payment by Source'!$A66,'AEA Funding and Payments'!$A$8:$A$332,0),MATCH(I$5,'AEA Funding and Payments'!$A$4:$T$4,0))/10,0))</f>
        <v>3530</v>
      </c>
      <c r="J66" s="221">
        <f t="shared" si="1"/>
        <v>691266</v>
      </c>
      <c r="K66" s="221">
        <f>INDEX(Data[],MATCH($A66,Data[Dist],0),MATCH(K$5,Data[#Headers],0))</f>
        <v>875602</v>
      </c>
      <c r="M66" s="59">
        <f>INDEX('Payment Total'!$A$7:$H$331,MATCH('Payment by Source'!$A66,'Payment Total'!$A$7:$A$331,0),6)-K66</f>
        <v>0</v>
      </c>
      <c r="O66" s="263">
        <f t="shared" si="4"/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6927901</v>
      </c>
      <c r="X66" s="136">
        <f t="shared" si="2"/>
        <v>692790</v>
      </c>
      <c r="Y66" s="136">
        <f t="shared" si="3"/>
        <v>6927900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19088</v>
      </c>
      <c r="D67" s="221">
        <f>IF(Notes!$B$2="June",ROUND('Budget by Source'!D67/10,0)+S67,ROUND('Budget by Source'!D67/10,0))</f>
        <v>87565</v>
      </c>
      <c r="E67" s="221">
        <f>IF(Notes!$B$2="June",ROUND('Budget by Source'!E67/10,0)+T67,ROUND('Budget by Source'!E67/10,0))</f>
        <v>7600</v>
      </c>
      <c r="F67" s="221">
        <f>IF(Notes!$B$2="June",ROUND('Budget by Source'!F67/10,0)+U67,ROUND('Budget by Source'!F67/10,0))</f>
        <v>6591</v>
      </c>
      <c r="G67" s="221">
        <f>IF(Notes!$B$2="June",ROUND('Budget by Source'!G67/10,0)+V67,ROUND('Budget by Source'!G67/10,0))</f>
        <v>39235</v>
      </c>
      <c r="H67" s="221">
        <f>INDEX('AEA Funding and Payments'!$A$8:$T$332,MATCH('Payment by Source'!$A67,'AEA Funding and Payments'!$A$8:$A$332,0),MATCH(H$5,'AEA Funding and Payments'!$A$4:$T$4,0))</f>
        <v>20219</v>
      </c>
      <c r="I67" s="221">
        <f>IF(Notes!$B$2="June",INDEX('AEA Funding and Payments'!$A$8:$AI$332,MATCH('Payment by Source'!$A67,'AEA Funding and Payments'!$A$8:$A$332,0),34),
ROUND(INDEX('AEA Funding and Payments'!$A$8:$T$332,MATCH('Payment by Source'!$A67,'AEA Funding and Payments'!$A$8:$A$332,0),MATCH(I$5,'AEA Funding and Payments'!$A$4:$T$4,0))/10,0))</f>
        <v>3123</v>
      </c>
      <c r="J67" s="221">
        <f t="shared" si="1"/>
        <v>619413</v>
      </c>
      <c r="K67" s="221">
        <f>INDEX(Data[],MATCH($A67,Data[Dist],0),MATCH(K$5,Data[#Headers],0))</f>
        <v>802834</v>
      </c>
      <c r="M67" s="59">
        <f>INDEX('Payment Total'!$A$7:$H$331,MATCH('Payment by Source'!$A67,'Payment Total'!$A$7:$A$331,0),6)-K67</f>
        <v>0</v>
      </c>
      <c r="O67" s="263">
        <f t="shared" si="4"/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6208827</v>
      </c>
      <c r="X67" s="136">
        <f t="shared" si="2"/>
        <v>620883</v>
      </c>
      <c r="Y67" s="136">
        <f t="shared" si="3"/>
        <v>6208830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22269</v>
      </c>
      <c r="D68" s="221">
        <f>IF(Notes!$B$2="June",ROUND('Budget by Source'!D68/10,0)+S68,ROUND('Budget by Source'!D68/10,0))</f>
        <v>81713</v>
      </c>
      <c r="E68" s="221">
        <f>IF(Notes!$B$2="June",ROUND('Budget by Source'!E68/10,0)+T68,ROUND('Budget by Source'!E68/10,0))</f>
        <v>8318</v>
      </c>
      <c r="F68" s="221">
        <f>IF(Notes!$B$2="June",ROUND('Budget by Source'!F68/10,0)+U68,ROUND('Budget by Source'!F68/10,0))</f>
        <v>7632</v>
      </c>
      <c r="G68" s="221">
        <f>IF(Notes!$B$2="June",ROUND('Budget by Source'!G68/10,0)+V68,ROUND('Budget by Source'!G68/10,0))</f>
        <v>37529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IF(Notes!$B$2="June",INDEX('AEA Funding and Payments'!$A$8:$AI$332,MATCH('Payment by Source'!$A68,'AEA Funding and Payments'!$A$8:$A$332,0),34),
ROUND(INDEX('AEA Funding and Payments'!$A$8:$T$332,MATCH('Payment by Source'!$A68,'AEA Funding and Payments'!$A$8:$A$332,0),MATCH(I$5,'AEA Funding and Payments'!$A$4:$T$4,0))/10,0))</f>
        <v>3262</v>
      </c>
      <c r="J68" s="221">
        <f t="shared" si="1"/>
        <v>492684</v>
      </c>
      <c r="K68" s="221">
        <f>INDEX(Data[],MATCH($A68,Data[Dist],0),MATCH(K$5,Data[#Headers],0))</f>
        <v>673561</v>
      </c>
      <c r="M68" s="59">
        <f>INDEX('Payment Total'!$A$7:$H$331,MATCH('Payment by Source'!$A68,'Payment Total'!$A$7:$A$331,0),6)-K68</f>
        <v>0</v>
      </c>
      <c r="O68" s="263">
        <f t="shared" si="4"/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4941546</v>
      </c>
      <c r="X68" s="136">
        <f t="shared" si="2"/>
        <v>494155</v>
      </c>
      <c r="Y68" s="136">
        <f t="shared" si="3"/>
        <v>4941550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17102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13199</v>
      </c>
      <c r="F69" s="221">
        <f>IF(Notes!$B$2="June",ROUND('Budget by Source'!F69/10,0)+U69,ROUND('Budget by Source'!F69/10,0))</f>
        <v>10638</v>
      </c>
      <c r="G69" s="221">
        <f>IF(Notes!$B$2="June",ROUND('Budget by Source'!G69/10,0)+V69,ROUND('Budget by Source'!G69/10,0))</f>
        <v>57153</v>
      </c>
      <c r="H69" s="221">
        <f>INDEX('AEA Funding and Payments'!$A$8:$T$332,MATCH('Payment by Source'!$A69,'AEA Funding and Payments'!$A$8:$A$332,0),MATCH(H$5,'AEA Funding and Payments'!$A$4:$T$4,0))</f>
        <v>31392</v>
      </c>
      <c r="I69" s="221">
        <f>IF(Notes!$B$2="June",INDEX('AEA Funding and Payments'!$A$8:$AI$332,MATCH('Payment by Source'!$A69,'AEA Funding and Payments'!$A$8:$A$332,0),34),
ROUND(INDEX('AEA Funding and Payments'!$A$8:$T$332,MATCH('Payment by Source'!$A69,'AEA Funding and Payments'!$A$8:$A$332,0),MATCH(I$5,'AEA Funding and Payments'!$A$4:$T$4,0))/10,0))</f>
        <v>4844</v>
      </c>
      <c r="J69" s="221">
        <f t="shared" si="1"/>
        <v>1096287</v>
      </c>
      <c r="K69" s="221">
        <f>INDEX(Data[],MATCH($A69,Data[Dist],0),MATCH(K$5,Data[#Headers],0))</f>
        <v>1363142</v>
      </c>
      <c r="M69" s="59">
        <f>INDEX('Payment Total'!$A$7:$H$331,MATCH('Payment by Source'!$A69,'Payment Total'!$A$7:$A$331,0),6)-K69</f>
        <v>0</v>
      </c>
      <c r="O69" s="263">
        <f t="shared" si="4"/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10985357</v>
      </c>
      <c r="X69" s="136">
        <f t="shared" si="2"/>
        <v>1098536</v>
      </c>
      <c r="Y69" s="136">
        <f t="shared" si="3"/>
        <v>10985360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6363</v>
      </c>
      <c r="D70" s="221">
        <f>IF(Notes!$B$2="June",ROUND('Budget by Source'!D70/10,0)+S70,ROUND('Budget by Source'!D70/10,0))</f>
        <v>41310</v>
      </c>
      <c r="E70" s="221">
        <f>IF(Notes!$B$2="June",ROUND('Budget by Source'!E70/10,0)+T70,ROUND('Budget by Source'!E70/10,0))</f>
        <v>2405</v>
      </c>
      <c r="F70" s="221">
        <f>IF(Notes!$B$2="June",ROUND('Budget by Source'!F70/10,0)+U70,ROUND('Budget by Source'!F70/10,0))</f>
        <v>2320</v>
      </c>
      <c r="G70" s="221">
        <f>IF(Notes!$B$2="June",ROUND('Budget by Source'!G70/10,0)+V70,ROUND('Budget by Source'!G70/10,0))</f>
        <v>10710</v>
      </c>
      <c r="H70" s="221">
        <f>INDEX('AEA Funding and Payments'!$A$8:$T$332,MATCH('Payment by Source'!$A70,'AEA Funding and Payments'!$A$8:$A$332,0),MATCH(H$5,'AEA Funding and Payments'!$A$4:$T$4,0))</f>
        <v>6160</v>
      </c>
      <c r="I70" s="221">
        <f>IF(Notes!$B$2="June",INDEX('AEA Funding and Payments'!$A$8:$AI$332,MATCH('Payment by Source'!$A70,'AEA Funding and Payments'!$A$8:$A$332,0),34),
ROUND(INDEX('AEA Funding and Payments'!$A$8:$T$332,MATCH('Payment by Source'!$A70,'AEA Funding and Payments'!$A$8:$A$332,0),MATCH(I$5,'AEA Funding and Payments'!$A$4:$T$4,0))/10,0))</f>
        <v>985</v>
      </c>
      <c r="J70" s="221">
        <f t="shared" si="1"/>
        <v>188036</v>
      </c>
      <c r="K70" s="221">
        <f>INDEX(Data[],MATCH($A70,Data[Dist],0),MATCH(K$5,Data[#Headers],0))</f>
        <v>258289</v>
      </c>
      <c r="M70" s="59">
        <f>INDEX('Payment Total'!$A$7:$H$331,MATCH('Payment by Source'!$A70,'Payment Total'!$A$7:$A$331,0),6)-K70</f>
        <v>0</v>
      </c>
      <c r="O70" s="263">
        <f t="shared" si="4"/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1884477</v>
      </c>
      <c r="X70" s="136">
        <f t="shared" si="2"/>
        <v>188448</v>
      </c>
      <c r="Y70" s="136">
        <f t="shared" si="3"/>
        <v>1884480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2786</v>
      </c>
      <c r="D71" s="221">
        <f>IF(Notes!$B$2="June",ROUND('Budget by Source'!D71/10,0)+S71,ROUND('Budget by Source'!D71/10,0))</f>
        <v>36972</v>
      </c>
      <c r="E71" s="221">
        <f>IF(Notes!$B$2="June",ROUND('Budget by Source'!E71/10,0)+T71,ROUND('Budget by Source'!E71/10,0))</f>
        <v>2260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11323</v>
      </c>
      <c r="H71" s="221">
        <f>INDEX('AEA Funding and Payments'!$A$8:$T$332,MATCH('Payment by Source'!$A71,'AEA Funding and Payments'!$A$8:$A$332,0),MATCH(H$5,'AEA Funding and Payments'!$A$4:$T$4,0))</f>
        <v>5330</v>
      </c>
      <c r="I71" s="221">
        <f>IF(Notes!$B$2="June",INDEX('AEA Funding and Payments'!$A$8:$AI$332,MATCH('Payment by Source'!$A71,'AEA Funding and Payments'!$A$8:$A$332,0),34),
ROUND(INDEX('AEA Funding and Payments'!$A$8:$T$332,MATCH('Payment by Source'!$A71,'AEA Funding and Payments'!$A$8:$A$332,0),MATCH(I$5,'AEA Funding and Payments'!$A$4:$T$4,0))/10,0))</f>
        <v>1074</v>
      </c>
      <c r="J71" s="221">
        <f t="shared" ref="J71:J134" si="5">K71-SUM(C71:I71)</f>
        <v>57548</v>
      </c>
      <c r="K71" s="221">
        <f>INDEX(Data[],MATCH($A71,Data[Dist],0),MATCH(K$5,Data[#Headers],0))</f>
        <v>119700</v>
      </c>
      <c r="M71" s="59">
        <f>INDEX('Payment Total'!$A$7:$H$331,MATCH('Payment by Source'!$A71,'Payment Total'!$A$7:$A$331,0),6)-K71</f>
        <v>0</v>
      </c>
      <c r="O71" s="263">
        <f t="shared" si="4"/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579574</v>
      </c>
      <c r="X71" s="136">
        <f t="shared" ref="X71:X134" si="6">ROUND(W71/10,0)</f>
        <v>57957</v>
      </c>
      <c r="Y71" s="136">
        <f t="shared" ref="Y71:Y134" si="7">X71*10</f>
        <v>579570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51710</v>
      </c>
      <c r="D72" s="221">
        <f>IF(Notes!$B$2="June",ROUND('Budget by Source'!D72/10,0)+S72,ROUND('Budget by Source'!D72/10,0))</f>
        <v>268023</v>
      </c>
      <c r="E72" s="221">
        <f>IF(Notes!$B$2="June",ROUND('Budget by Source'!E72/10,0)+T72,ROUND('Budget by Source'!E72/10,0))</f>
        <v>22268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122192</v>
      </c>
      <c r="H72" s="221">
        <f>INDEX('AEA Funding and Payments'!$A$8:$T$332,MATCH('Payment by Source'!$A72,'AEA Funding and Payments'!$A$8:$A$332,0),MATCH(H$5,'AEA Funding and Payments'!$A$4:$T$4,0))</f>
        <v>66229</v>
      </c>
      <c r="I72" s="221">
        <f>IF(Notes!$B$2="June",INDEX('AEA Funding and Payments'!$A$8:$AI$332,MATCH('Payment by Source'!$A72,'AEA Funding and Payments'!$A$8:$A$332,0),34),
ROUND(INDEX('AEA Funding and Payments'!$A$8:$T$332,MATCH('Payment by Source'!$A72,'AEA Funding and Payments'!$A$8:$A$332,0),MATCH(I$5,'AEA Funding and Payments'!$A$4:$T$4,0))/10,0))</f>
        <v>10183</v>
      </c>
      <c r="J72" s="221">
        <f t="shared" si="5"/>
        <v>1787711</v>
      </c>
      <c r="K72" s="221">
        <f>INDEX(Data[],MATCH($A72,Data[Dist],0),MATCH(K$5,Data[#Headers],0))</f>
        <v>2352153</v>
      </c>
      <c r="M72" s="59">
        <f>INDEX('Payment Total'!$A$7:$H$331,MATCH('Payment by Source'!$A72,'Payment Total'!$A$7:$A$331,0),6)-K72</f>
        <v>0</v>
      </c>
      <c r="O72" s="263">
        <f t="shared" si="4"/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17924592</v>
      </c>
      <c r="X72" s="136">
        <f t="shared" si="6"/>
        <v>1792459</v>
      </c>
      <c r="Y72" s="136">
        <f t="shared" si="7"/>
        <v>17924590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102626</v>
      </c>
      <c r="E73" s="221">
        <f>IF(Notes!$B$2="June",ROUND('Budget by Source'!E73/10,0)+T73,ROUND('Budget by Source'!E73/10,0))</f>
        <v>8969</v>
      </c>
      <c r="F73" s="221">
        <f>IF(Notes!$B$2="June",ROUND('Budget by Source'!F73/10,0)+U73,ROUND('Budget by Source'!F73/10,0))</f>
        <v>8536</v>
      </c>
      <c r="G73" s="221">
        <f>IF(Notes!$B$2="June",ROUND('Budget by Source'!G73/10,0)+V73,ROUND('Budget by Source'!G73/10,0))</f>
        <v>44942</v>
      </c>
      <c r="H73" s="221">
        <f>INDEX('AEA Funding and Payments'!$A$8:$T$332,MATCH('Payment by Source'!$A73,'AEA Funding and Payments'!$A$8:$A$332,0),MATCH(H$5,'AEA Funding and Payments'!$A$4:$T$4,0))</f>
        <v>24232</v>
      </c>
      <c r="I73" s="221">
        <f>IF(Notes!$B$2="June",INDEX('AEA Funding and Payments'!$A$8:$AI$332,MATCH('Payment by Source'!$A73,'AEA Funding and Payments'!$A$8:$A$332,0),34),
ROUND(INDEX('AEA Funding and Payments'!$A$8:$T$332,MATCH('Payment by Source'!$A73,'AEA Funding and Payments'!$A$8:$A$332,0),MATCH(I$5,'AEA Funding and Payments'!$A$4:$T$4,0))/10,0))</f>
        <v>3794</v>
      </c>
      <c r="J73" s="221">
        <f t="shared" si="5"/>
        <v>333900</v>
      </c>
      <c r="K73" s="221">
        <f>INDEX(Data[],MATCH($A73,Data[Dist],0),MATCH(K$5,Data[#Headers],0))</f>
        <v>540920</v>
      </c>
      <c r="M73" s="59">
        <f>INDEX('Payment Total'!$A$7:$H$331,MATCH('Payment by Source'!$A73,'Payment Total'!$A$7:$A$331,0),6)-K73</f>
        <v>0</v>
      </c>
      <c r="O73" s="263">
        <f t="shared" si="4"/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3356354</v>
      </c>
      <c r="X73" s="136">
        <f t="shared" si="6"/>
        <v>335635</v>
      </c>
      <c r="Y73" s="136">
        <f t="shared" si="7"/>
        <v>3356350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79167</v>
      </c>
      <c r="D74" s="221">
        <f>IF(Notes!$B$2="June",ROUND('Budget by Source'!D74/10,0)+S74,ROUND('Budget by Source'!D74/10,0))</f>
        <v>288242</v>
      </c>
      <c r="E74" s="221">
        <f>IF(Notes!$B$2="June",ROUND('Budget by Source'!E74/10,0)+T74,ROUND('Budget by Source'!E74/10,0))</f>
        <v>34069</v>
      </c>
      <c r="F74" s="221">
        <f>IF(Notes!$B$2="June",ROUND('Budget by Source'!F74/10,0)+U74,ROUND('Budget by Source'!F74/10,0))</f>
        <v>29527</v>
      </c>
      <c r="G74" s="221">
        <f>IF(Notes!$B$2="June",ROUND('Budget by Source'!G74/10,0)+V74,ROUND('Budget by Source'!G74/10,0))</f>
        <v>144297</v>
      </c>
      <c r="H74" s="221">
        <f>INDEX('AEA Funding and Payments'!$A$8:$T$332,MATCH('Payment by Source'!$A74,'AEA Funding and Payments'!$A$8:$A$332,0),MATCH(H$5,'AEA Funding and Payments'!$A$4:$T$4,0))</f>
        <v>82300</v>
      </c>
      <c r="I74" s="221">
        <f>IF(Notes!$B$2="June",INDEX('AEA Funding and Payments'!$A$8:$AI$332,MATCH('Payment by Source'!$A74,'AEA Funding and Payments'!$A$8:$A$332,0),34),
ROUND(INDEX('AEA Funding and Payments'!$A$8:$T$332,MATCH('Payment by Source'!$A74,'AEA Funding and Payments'!$A$8:$A$332,0),MATCH(I$5,'AEA Funding and Payments'!$A$4:$T$4,0))/10,0))</f>
        <v>12756</v>
      </c>
      <c r="J74" s="221">
        <f t="shared" si="5"/>
        <v>2802314</v>
      </c>
      <c r="K74" s="221">
        <f>INDEX(Data[],MATCH($A74,Data[Dist],0),MATCH(K$5,Data[#Headers],0))</f>
        <v>3472672</v>
      </c>
      <c r="M74" s="59">
        <f>INDEX('Payment Total'!$A$7:$H$331,MATCH('Payment by Source'!$A74,'Payment Total'!$A$7:$A$331,0),6)-K74</f>
        <v>0</v>
      </c>
      <c r="O74" s="263">
        <f t="shared" si="4"/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28077669</v>
      </c>
      <c r="X74" s="136">
        <f t="shared" si="6"/>
        <v>2807767</v>
      </c>
      <c r="Y74" s="136">
        <f t="shared" si="7"/>
        <v>28077670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12725</v>
      </c>
      <c r="D75" s="221">
        <f>IF(Notes!$B$2="June",ROUND('Budget by Source'!D75/10,0)+S75,ROUND('Budget by Source'!D75/10,0))</f>
        <v>72471</v>
      </c>
      <c r="E75" s="221">
        <f>IF(Notes!$B$2="June",ROUND('Budget by Source'!E75/10,0)+T75,ROUND('Budget by Source'!E75/10,0))</f>
        <v>5573</v>
      </c>
      <c r="F75" s="221">
        <f>IF(Notes!$B$2="June",ROUND('Budget by Source'!F75/10,0)+U75,ROUND('Budget by Source'!F75/10,0))</f>
        <v>4801</v>
      </c>
      <c r="G75" s="221">
        <f>IF(Notes!$B$2="June",ROUND('Budget by Source'!G75/10,0)+V75,ROUND('Budget by Source'!G75/10,0))</f>
        <v>27067</v>
      </c>
      <c r="H75" s="221">
        <f>INDEX('AEA Funding and Payments'!$A$8:$T$332,MATCH('Payment by Source'!$A75,'AEA Funding and Payments'!$A$8:$A$332,0),MATCH(H$5,'AEA Funding and Payments'!$A$4:$T$4,0))</f>
        <v>14853</v>
      </c>
      <c r="I75" s="221">
        <f>IF(Notes!$B$2="June",INDEX('AEA Funding and Payments'!$A$8:$AI$332,MATCH('Payment by Source'!$A75,'AEA Funding and Payments'!$A$8:$A$332,0),34),
ROUND(INDEX('AEA Funding and Payments'!$A$8:$T$332,MATCH('Payment by Source'!$A75,'AEA Funding and Payments'!$A$8:$A$332,0),MATCH(I$5,'AEA Funding and Payments'!$A$4:$T$4,0))/10,0))</f>
        <v>2253</v>
      </c>
      <c r="J75" s="221">
        <f t="shared" si="5"/>
        <v>415463</v>
      </c>
      <c r="K75" s="221">
        <f>INDEX(Data[],MATCH($A75,Data[Dist],0),MATCH(K$5,Data[#Headers],0))</f>
        <v>555206</v>
      </c>
      <c r="M75" s="59">
        <f>INDEX('Payment Total'!$A$7:$H$331,MATCH('Payment by Source'!$A75,'Payment Total'!$A$7:$A$331,0),6)-K75</f>
        <v>0</v>
      </c>
      <c r="O75" s="263">
        <f t="shared" ref="O75:O138" si="8">SUM(C75:J75)-K75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4164915</v>
      </c>
      <c r="X75" s="136">
        <f t="shared" si="6"/>
        <v>416492</v>
      </c>
      <c r="Y75" s="136">
        <f t="shared" si="7"/>
        <v>4164920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111769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41808</v>
      </c>
      <c r="G76" s="221">
        <f>IF(Notes!$B$2="June",ROUND('Budget by Source'!G76/10,0)+V76,ROUND('Budget by Source'!G76/10,0))</f>
        <v>201533</v>
      </c>
      <c r="H76" s="221">
        <f>INDEX('AEA Funding and Payments'!$A$8:$T$332,MATCH('Payment by Source'!$A76,'AEA Funding and Payments'!$A$8:$A$332,0),MATCH(H$5,'AEA Funding and Payments'!$A$4:$T$4,0))</f>
        <v>107081</v>
      </c>
      <c r="I76" s="221">
        <f>IF(Notes!$B$2="June",INDEX('AEA Funding and Payments'!$A$8:$AI$332,MATCH('Payment by Source'!$A76,'AEA Funding and Payments'!$A$8:$A$332,0),34),
ROUND(INDEX('AEA Funding and Payments'!$A$8:$T$332,MATCH('Payment by Source'!$A76,'AEA Funding and Payments'!$A$8:$A$332,0),MATCH(I$5,'AEA Funding and Payments'!$A$4:$T$4,0))/10,0))</f>
        <v>16468</v>
      </c>
      <c r="J76" s="221">
        <f t="shared" si="5"/>
        <v>2734092</v>
      </c>
      <c r="K76" s="221">
        <f>INDEX(Data[],MATCH($A76,Data[Dist],0),MATCH(K$5,Data[#Headers],0))</f>
        <v>3647917</v>
      </c>
      <c r="M76" s="59">
        <f>INDEX('Payment Total'!$A$7:$H$331,MATCH('Payment by Source'!$A76,'Payment Total'!$A$7:$A$331,0),6)-K76</f>
        <v>0</v>
      </c>
      <c r="O76" s="263">
        <f t="shared" si="8"/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27418665</v>
      </c>
      <c r="X76" s="136">
        <f t="shared" si="6"/>
        <v>2741867</v>
      </c>
      <c r="Y76" s="136">
        <f t="shared" si="7"/>
        <v>27418670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9544</v>
      </c>
      <c r="D77" s="221">
        <f>IF(Notes!$B$2="June",ROUND('Budget by Source'!D77/10,0)+S77,ROUND('Budget by Source'!D77/10,0))</f>
        <v>52898</v>
      </c>
      <c r="E77" s="221">
        <f>IF(Notes!$B$2="June",ROUND('Budget by Source'!E77/10,0)+T77,ROUND('Budget by Source'!E77/10,0))</f>
        <v>3464</v>
      </c>
      <c r="F77" s="221">
        <f>IF(Notes!$B$2="June",ROUND('Budget by Source'!F77/10,0)+U77,ROUND('Budget by Source'!F77/10,0))</f>
        <v>3168</v>
      </c>
      <c r="G77" s="221">
        <f>IF(Notes!$B$2="June",ROUND('Budget by Source'!G77/10,0)+V77,ROUND('Budget by Source'!G77/10,0))</f>
        <v>16763</v>
      </c>
      <c r="H77" s="221">
        <f>INDEX('AEA Funding and Payments'!$A$8:$T$332,MATCH('Payment by Source'!$A77,'AEA Funding and Payments'!$A$8:$A$332,0),MATCH(H$5,'AEA Funding and Payments'!$A$4:$T$4,0))</f>
        <v>8892</v>
      </c>
      <c r="I77" s="221">
        <f>IF(Notes!$B$2="June",INDEX('AEA Funding and Payments'!$A$8:$AI$332,MATCH('Payment by Source'!$A77,'AEA Funding and Payments'!$A$8:$A$332,0),34),
ROUND(INDEX('AEA Funding and Payments'!$A$8:$T$332,MATCH('Payment by Source'!$A77,'AEA Funding and Payments'!$A$8:$A$332,0),MATCH(I$5,'AEA Funding and Payments'!$A$4:$T$4,0))/10,0))</f>
        <v>1438</v>
      </c>
      <c r="J77" s="221">
        <f t="shared" si="5"/>
        <v>247308</v>
      </c>
      <c r="K77" s="221">
        <f>INDEX(Data[],MATCH($A77,Data[Dist],0),MATCH(K$5,Data[#Headers],0))</f>
        <v>343475</v>
      </c>
      <c r="M77" s="59">
        <f>INDEX('Payment Total'!$A$7:$H$331,MATCH('Payment by Source'!$A77,'Payment Total'!$A$7:$A$331,0),6)-K77</f>
        <v>0</v>
      </c>
      <c r="O77" s="263">
        <f t="shared" si="8"/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2479418</v>
      </c>
      <c r="X77" s="136">
        <f t="shared" si="6"/>
        <v>247942</v>
      </c>
      <c r="Y77" s="136">
        <f t="shared" si="7"/>
        <v>2479420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11135</v>
      </c>
      <c r="D78" s="221">
        <f>IF(Notes!$B$2="June",ROUND('Budget by Source'!D78/10,0)+S78,ROUND('Budget by Source'!D78/10,0))</f>
        <v>52512</v>
      </c>
      <c r="E78" s="221">
        <f>IF(Notes!$B$2="June",ROUND('Budget by Source'!E78/10,0)+T78,ROUND('Budget by Source'!E78/10,0))</f>
        <v>3602</v>
      </c>
      <c r="F78" s="221">
        <f>IF(Notes!$B$2="June",ROUND('Budget by Source'!F78/10,0)+U78,ROUND('Budget by Source'!F78/10,0))</f>
        <v>3380</v>
      </c>
      <c r="G78" s="221">
        <f>IF(Notes!$B$2="June",ROUND('Budget by Source'!G78/10,0)+V78,ROUND('Budget by Source'!G78/10,0))</f>
        <v>17416</v>
      </c>
      <c r="H78" s="221">
        <f>INDEX('AEA Funding and Payments'!$A$8:$T$332,MATCH('Payment by Source'!$A78,'AEA Funding and Payments'!$A$8:$A$332,0),MATCH(H$5,'AEA Funding and Payments'!$A$4:$T$4,0))</f>
        <v>9694</v>
      </c>
      <c r="I78" s="221">
        <f>IF(Notes!$B$2="June",INDEX('AEA Funding and Payments'!$A$8:$AI$332,MATCH('Payment by Source'!$A78,'AEA Funding and Payments'!$A$8:$A$332,0),34),
ROUND(INDEX('AEA Funding and Payments'!$A$8:$T$332,MATCH('Payment by Source'!$A78,'AEA Funding and Payments'!$A$8:$A$332,0),MATCH(I$5,'AEA Funding and Payments'!$A$4:$T$4,0))/10,0))</f>
        <v>1448</v>
      </c>
      <c r="J78" s="221">
        <f t="shared" si="5"/>
        <v>198445</v>
      </c>
      <c r="K78" s="221">
        <f>INDEX(Data[],MATCH($A78,Data[Dist],0),MATCH(K$5,Data[#Headers],0))</f>
        <v>297632</v>
      </c>
      <c r="M78" s="59">
        <f>INDEX('Payment Total'!$A$7:$H$331,MATCH('Payment by Source'!$A78,'Payment Total'!$A$7:$A$331,0),6)-K78</f>
        <v>0</v>
      </c>
      <c r="O78" s="263">
        <f t="shared" si="8"/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1991415</v>
      </c>
      <c r="X78" s="136">
        <f t="shared" si="6"/>
        <v>199142</v>
      </c>
      <c r="Y78" s="136">
        <f t="shared" si="7"/>
        <v>1991420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14326</v>
      </c>
      <c r="D79" s="221">
        <f>IF(Notes!$B$2="June",ROUND('Budget by Source'!D79/10,0)+S79,ROUND('Budget by Source'!D79/10,0))</f>
        <v>86317</v>
      </c>
      <c r="E79" s="221">
        <f>IF(Notes!$B$2="June",ROUND('Budget by Source'!E79/10,0)+T79,ROUND('Budget by Source'!E79/10,0))</f>
        <v>6790</v>
      </c>
      <c r="F79" s="221">
        <f>IF(Notes!$B$2="June",ROUND('Budget by Source'!F79/10,0)+U79,ROUND('Budget by Source'!F79/10,0))</f>
        <v>6508</v>
      </c>
      <c r="G79" s="221">
        <f>IF(Notes!$B$2="June",ROUND('Budget by Source'!G79/10,0)+V79,ROUND('Budget by Source'!G79/10,0))</f>
        <v>29459</v>
      </c>
      <c r="H79" s="221">
        <f>INDEX('AEA Funding and Payments'!$A$8:$T$332,MATCH('Payment by Source'!$A79,'AEA Funding and Payments'!$A$8:$A$332,0),MATCH(H$5,'AEA Funding and Payments'!$A$4:$T$4,0))</f>
        <v>16582</v>
      </c>
      <c r="I79" s="221">
        <f>IF(Notes!$B$2="June",INDEX('AEA Funding and Payments'!$A$8:$AI$332,MATCH('Payment by Source'!$A79,'AEA Funding and Payments'!$A$8:$A$332,0),34),
ROUND(INDEX('AEA Funding and Payments'!$A$8:$T$332,MATCH('Payment by Source'!$A79,'AEA Funding and Payments'!$A$8:$A$332,0),MATCH(I$5,'AEA Funding and Payments'!$A$4:$T$4,0))/10,0))</f>
        <v>2566</v>
      </c>
      <c r="J79" s="221">
        <f t="shared" si="5"/>
        <v>518413</v>
      </c>
      <c r="K79" s="221">
        <f>INDEX(Data[],MATCH($A79,Data[Dist],0),MATCH(K$5,Data[#Headers],0))</f>
        <v>680961</v>
      </c>
      <c r="M79" s="59">
        <f>INDEX('Payment Total'!$A$7:$H$331,MATCH('Payment by Source'!$A79,'Payment Total'!$A$7:$A$331,0),6)-K79</f>
        <v>0</v>
      </c>
      <c r="O79" s="263">
        <f t="shared" si="8"/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5195781</v>
      </c>
      <c r="X79" s="136">
        <f t="shared" si="6"/>
        <v>519578</v>
      </c>
      <c r="Y79" s="136">
        <f t="shared" si="7"/>
        <v>5195780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10344</v>
      </c>
      <c r="D80" s="221">
        <f>IF(Notes!$B$2="June",ROUND('Budget by Source'!D80/10,0)+S80,ROUND('Budget by Source'!D80/10,0))</f>
        <v>60441</v>
      </c>
      <c r="E80" s="221">
        <f>IF(Notes!$B$2="June",ROUND('Budget by Source'!E80/10,0)+T80,ROUND('Budget by Source'!E80/10,0))</f>
        <v>3898</v>
      </c>
      <c r="F80" s="221">
        <f>IF(Notes!$B$2="June",ROUND('Budget by Source'!F80/10,0)+U80,ROUND('Budget by Source'!F80/10,0))</f>
        <v>3623</v>
      </c>
      <c r="G80" s="221">
        <f>IF(Notes!$B$2="June",ROUND('Budget by Source'!G80/10,0)+V80,ROUND('Budget by Source'!G80/10,0))</f>
        <v>17004</v>
      </c>
      <c r="H80" s="221">
        <f>INDEX('AEA Funding and Payments'!$A$8:$T$332,MATCH('Payment by Source'!$A80,'AEA Funding and Payments'!$A$8:$A$332,0),MATCH(H$5,'AEA Funding and Payments'!$A$4:$T$4,0))</f>
        <v>9644</v>
      </c>
      <c r="I80" s="221">
        <f>IF(Notes!$B$2="June",INDEX('AEA Funding and Payments'!$A$8:$AI$332,MATCH('Payment by Source'!$A80,'AEA Funding and Payments'!$A$8:$A$332,0),34),
ROUND(INDEX('AEA Funding and Payments'!$A$8:$T$332,MATCH('Payment by Source'!$A80,'AEA Funding and Payments'!$A$8:$A$332,0),MATCH(I$5,'AEA Funding and Payments'!$A$4:$T$4,0))/10,0))</f>
        <v>1444</v>
      </c>
      <c r="J80" s="221">
        <f t="shared" si="5"/>
        <v>252989</v>
      </c>
      <c r="K80" s="221">
        <f>INDEX(Data[],MATCH($A80,Data[Dist],0),MATCH(K$5,Data[#Headers],0))</f>
        <v>359387</v>
      </c>
      <c r="M80" s="59">
        <f>INDEX('Payment Total'!$A$7:$H$331,MATCH('Payment by Source'!$A80,'Payment Total'!$A$7:$A$331,0),6)-K80</f>
        <v>0</v>
      </c>
      <c r="O80" s="263">
        <f t="shared" si="8"/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2536649</v>
      </c>
      <c r="X80" s="136">
        <f t="shared" si="6"/>
        <v>253665</v>
      </c>
      <c r="Y80" s="136">
        <f t="shared" si="7"/>
        <v>2536650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3688</v>
      </c>
      <c r="F81" s="221">
        <f>IF(Notes!$B$2="June",ROUND('Budget by Source'!F81/10,0)+U81,ROUND('Budget by Source'!F81/10,0))</f>
        <v>3161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8550</v>
      </c>
      <c r="I81" s="221">
        <f>IF(Notes!$B$2="June",INDEX('AEA Funding and Payments'!$A$8:$AI$332,MATCH('Payment by Source'!$A81,'AEA Funding and Payments'!$A$8:$A$332,0),34),
ROUND(INDEX('AEA Funding and Payments'!$A$8:$T$332,MATCH('Payment by Source'!$A81,'AEA Funding and Payments'!$A$8:$A$332,0),MATCH(I$5,'AEA Funding and Payments'!$A$4:$T$4,0))/10,0))</f>
        <v>1323</v>
      </c>
      <c r="J81" s="221">
        <f t="shared" si="5"/>
        <v>158642</v>
      </c>
      <c r="K81" s="221">
        <f>INDEX(Data[],MATCH($A81,Data[Dist],0),MATCH(K$5,Data[#Headers],0))</f>
        <v>245270</v>
      </c>
      <c r="M81" s="59">
        <f>INDEX('Payment Total'!$A$7:$H$331,MATCH('Payment by Source'!$A81,'Payment Total'!$A$7:$A$331,0),6)-K81</f>
        <v>0</v>
      </c>
      <c r="O81" s="263">
        <f t="shared" si="8"/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1592426</v>
      </c>
      <c r="X81" s="136">
        <f t="shared" si="6"/>
        <v>159243</v>
      </c>
      <c r="Y81" s="136">
        <f t="shared" si="7"/>
        <v>1592430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153530</v>
      </c>
      <c r="D82" s="221">
        <f>IF(Notes!$B$2="June",ROUND('Budget by Source'!D82/10,0)+S82,ROUND('Budget by Source'!D82/10,0))</f>
        <v>637416</v>
      </c>
      <c r="E82" s="221">
        <f>IF(Notes!$B$2="June",ROUND('Budget by Source'!E82/10,0)+T82,ROUND('Budget by Source'!E82/10,0))</f>
        <v>84713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341214</v>
      </c>
      <c r="H82" s="221">
        <f>INDEX('AEA Funding and Payments'!$A$8:$T$332,MATCH('Payment by Source'!$A82,'AEA Funding and Payments'!$A$8:$A$332,0),MATCH(H$5,'AEA Funding and Payments'!$A$4:$T$4,0))</f>
        <v>199044</v>
      </c>
      <c r="I82" s="221">
        <f>IF(Notes!$B$2="June",INDEX('AEA Funding and Payments'!$A$8:$AI$332,MATCH('Payment by Source'!$A82,'AEA Funding and Payments'!$A$8:$A$332,0),34),
ROUND(INDEX('AEA Funding and Payments'!$A$8:$T$332,MATCH('Payment by Source'!$A82,'AEA Funding and Payments'!$A$8:$A$332,0),MATCH(I$5,'AEA Funding and Payments'!$A$4:$T$4,0))/10,0))</f>
        <v>30894</v>
      </c>
      <c r="J82" s="221">
        <f t="shared" si="5"/>
        <v>6654400</v>
      </c>
      <c r="K82" s="221">
        <f>INDEX(Data[],MATCH($A82,Data[Dist],0),MATCH(K$5,Data[#Headers],0))</f>
        <v>8168969</v>
      </c>
      <c r="M82" s="59">
        <f>INDEX('Payment Total'!$A$7:$H$331,MATCH('Payment by Source'!$A82,'Payment Total'!$A$7:$A$331,0),6)-K82</f>
        <v>0</v>
      </c>
      <c r="O82" s="263">
        <f t="shared" si="8"/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66672499</v>
      </c>
      <c r="X82" s="136">
        <f t="shared" si="6"/>
        <v>6667250</v>
      </c>
      <c r="Y82" s="136">
        <f t="shared" si="7"/>
        <v>66672500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124866</v>
      </c>
      <c r="E83" s="221">
        <f>IF(Notes!$B$2="June",ROUND('Budget by Source'!E83/10,0)+T83,ROUND('Budget by Source'!E83/10,0))</f>
        <v>12259</v>
      </c>
      <c r="F83" s="221">
        <f>IF(Notes!$B$2="June",ROUND('Budget by Source'!F83/10,0)+U83,ROUND('Budget by Source'!F83/10,0))</f>
        <v>10801</v>
      </c>
      <c r="G83" s="221">
        <f>IF(Notes!$B$2="June",ROUND('Budget by Source'!G83/10,0)+V83,ROUND('Budget by Source'!G83/10,0))</f>
        <v>54226</v>
      </c>
      <c r="H83" s="221">
        <f>INDEX('AEA Funding and Payments'!$A$8:$T$332,MATCH('Payment by Source'!$A83,'AEA Funding and Payments'!$A$8:$A$332,0),MATCH(H$5,'AEA Funding and Payments'!$A$4:$T$4,0))</f>
        <v>28272</v>
      </c>
      <c r="I83" s="221">
        <f>IF(Notes!$B$2="June",INDEX('AEA Funding and Payments'!$A$8:$AI$332,MATCH('Payment by Source'!$A83,'AEA Funding and Payments'!$A$8:$A$332,0),34),
ROUND(INDEX('AEA Funding and Payments'!$A$8:$T$332,MATCH('Payment by Source'!$A83,'AEA Funding and Payments'!$A$8:$A$332,0),MATCH(I$5,'AEA Funding and Payments'!$A$4:$T$4,0))/10,0))</f>
        <v>4443</v>
      </c>
      <c r="J83" s="221">
        <f t="shared" si="5"/>
        <v>826652</v>
      </c>
      <c r="K83" s="221">
        <f>INDEX(Data[],MATCH($A83,Data[Dist],0),MATCH(K$5,Data[#Headers],0))</f>
        <v>1096918</v>
      </c>
      <c r="M83" s="59">
        <f>INDEX('Payment Total'!$A$7:$H$331,MATCH('Payment by Source'!$A83,'Payment Total'!$A$7:$A$331,0),6)-K83</f>
        <v>0</v>
      </c>
      <c r="O83" s="263">
        <f t="shared" si="8"/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8286591</v>
      </c>
      <c r="X83" s="136">
        <f t="shared" si="6"/>
        <v>828659</v>
      </c>
      <c r="Y83" s="136">
        <f t="shared" si="7"/>
        <v>8286590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58073</v>
      </c>
      <c r="D84" s="221">
        <f>IF(Notes!$B$2="June",ROUND('Budget by Source'!D84/10,0)+S84,ROUND('Budget by Source'!D84/10,0))</f>
        <v>253868</v>
      </c>
      <c r="E84" s="221">
        <f>IF(Notes!$B$2="June",ROUND('Budget by Source'!E84/10,0)+T84,ROUND('Budget by Source'!E84/10,0))</f>
        <v>27688</v>
      </c>
      <c r="F84" s="221">
        <f>IF(Notes!$B$2="June",ROUND('Budget by Source'!F84/10,0)+U84,ROUND('Budget by Source'!F84/10,0))</f>
        <v>24731</v>
      </c>
      <c r="G84" s="221">
        <f>IF(Notes!$B$2="June",ROUND('Budget by Source'!G84/10,0)+V84,ROUND('Budget by Source'!G84/10,0))</f>
        <v>135708</v>
      </c>
      <c r="H84" s="221">
        <f>INDEX('AEA Funding and Payments'!$A$8:$T$332,MATCH('Payment by Source'!$A84,'AEA Funding and Payments'!$A$8:$A$332,0),MATCH(H$5,'AEA Funding and Payments'!$A$4:$T$4,0))</f>
        <v>72549</v>
      </c>
      <c r="I84" s="221">
        <f>IF(Notes!$B$2="June",INDEX('AEA Funding and Payments'!$A$8:$AI$332,MATCH('Payment by Source'!$A84,'AEA Funding and Payments'!$A$8:$A$332,0),34),
ROUND(INDEX('AEA Funding and Payments'!$A$8:$T$332,MATCH('Payment by Source'!$A84,'AEA Funding and Payments'!$A$8:$A$332,0),MATCH(I$5,'AEA Funding and Payments'!$A$4:$T$4,0))/10,0))</f>
        <v>10843</v>
      </c>
      <c r="J84" s="221">
        <f t="shared" si="5"/>
        <v>2050841</v>
      </c>
      <c r="K84" s="221">
        <f>INDEX(Data[],MATCH($A84,Data[Dist],0),MATCH(K$5,Data[#Headers],0))</f>
        <v>2634301</v>
      </c>
      <c r="M84" s="59">
        <f>INDEX('Payment Total'!$A$7:$H$331,MATCH('Payment by Source'!$A84,'Payment Total'!$A$7:$A$331,0),6)-K84</f>
        <v>0</v>
      </c>
      <c r="O84" s="263">
        <f t="shared" si="8"/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20560849</v>
      </c>
      <c r="X84" s="136">
        <f t="shared" si="6"/>
        <v>2056085</v>
      </c>
      <c r="Y84" s="136">
        <f t="shared" si="7"/>
        <v>20560850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12340</v>
      </c>
      <c r="D85" s="221">
        <f>IF(Notes!$B$2="June",ROUND('Budget by Source'!D85/10,0)+S85,ROUND('Budget by Source'!D85/10,0))</f>
        <v>52748</v>
      </c>
      <c r="E85" s="221">
        <f>IF(Notes!$B$2="June",ROUND('Budget by Source'!E85/10,0)+T85,ROUND('Budget by Source'!E85/10,0))</f>
        <v>3694</v>
      </c>
      <c r="F85" s="221">
        <f>IF(Notes!$B$2="June",ROUND('Budget by Source'!F85/10,0)+U85,ROUND('Budget by Source'!F85/10,0))</f>
        <v>3325</v>
      </c>
      <c r="G85" s="221">
        <f>IF(Notes!$B$2="June",ROUND('Budget by Source'!G85/10,0)+V85,ROUND('Budget by Source'!G85/10,0))</f>
        <v>16779</v>
      </c>
      <c r="H85" s="221">
        <f>INDEX('AEA Funding and Payments'!$A$8:$T$332,MATCH('Payment by Source'!$A85,'AEA Funding and Payments'!$A$8:$A$332,0),MATCH(H$5,'AEA Funding and Payments'!$A$4:$T$4,0))</f>
        <v>8526</v>
      </c>
      <c r="I85" s="221">
        <f>IF(Notes!$B$2="June",INDEX('AEA Funding and Payments'!$A$8:$AI$332,MATCH('Payment by Source'!$A85,'AEA Funding and Payments'!$A$8:$A$332,0),34),
ROUND(INDEX('AEA Funding and Payments'!$A$8:$T$332,MATCH('Payment by Source'!$A85,'AEA Funding and Payments'!$A$8:$A$332,0),MATCH(I$5,'AEA Funding and Payments'!$A$4:$T$4,0))/10,0))</f>
        <v>1458</v>
      </c>
      <c r="J85" s="221">
        <f t="shared" si="5"/>
        <v>252540</v>
      </c>
      <c r="K85" s="221">
        <f>INDEX(Data[],MATCH($A85,Data[Dist],0),MATCH(K$5,Data[#Headers],0))</f>
        <v>351410</v>
      </c>
      <c r="M85" s="59">
        <f>INDEX('Payment Total'!$A$7:$H$331,MATCH('Payment by Source'!$A85,'Payment Total'!$A$7:$A$331,0),6)-K85</f>
        <v>0</v>
      </c>
      <c r="O85" s="263">
        <f t="shared" si="8"/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2531754</v>
      </c>
      <c r="X85" s="136">
        <f t="shared" si="6"/>
        <v>253175</v>
      </c>
      <c r="Y85" s="136">
        <f t="shared" si="7"/>
        <v>2531750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278815</v>
      </c>
      <c r="D86" s="221">
        <f>IF(Notes!$B$2="June",ROUND('Budget by Source'!D86/10,0)+S86,ROUND('Budget by Source'!D86/10,0))</f>
        <v>1118956</v>
      </c>
      <c r="E86" s="221">
        <f>IF(Notes!$B$2="June",ROUND('Budget by Source'!E86/10,0)+T86,ROUND('Budget by Source'!E86/10,0))</f>
        <v>143731</v>
      </c>
      <c r="F86" s="221">
        <f>IF(Notes!$B$2="June",ROUND('Budget by Source'!F86/10,0)+U86,ROUND('Budget by Source'!F86/10,0))</f>
        <v>123379</v>
      </c>
      <c r="G86" s="221">
        <f>IF(Notes!$B$2="June",ROUND('Budget by Source'!G86/10,0)+V86,ROUND('Budget by Source'!G86/10,0))</f>
        <v>581282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IF(Notes!$B$2="June",INDEX('AEA Funding and Payments'!$A$8:$AI$332,MATCH('Payment by Source'!$A86,'AEA Funding and Payments'!$A$8:$A$332,0),34),
ROUND(INDEX('AEA Funding and Payments'!$A$8:$T$332,MATCH('Payment by Source'!$A86,'AEA Funding and Payments'!$A$8:$A$332,0),MATCH(I$5,'AEA Funding and Payments'!$A$4:$T$4,0))/10,0))</f>
        <v>47007</v>
      </c>
      <c r="J86" s="221">
        <f t="shared" si="5"/>
        <v>9179129</v>
      </c>
      <c r="K86" s="221">
        <f>INDEX(Data[],MATCH($A86,Data[Dist],0),MATCH(K$5,Data[#Headers],0))</f>
        <v>11775705</v>
      </c>
      <c r="M86" s="59">
        <f>INDEX('Payment Total'!$A$7:$H$331,MATCH('Payment by Source'!$A86,'Payment Total'!$A$7:$A$331,0),6)-K86</f>
        <v>0</v>
      </c>
      <c r="O86" s="263">
        <f t="shared" si="8"/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91997481</v>
      </c>
      <c r="X86" s="136">
        <f t="shared" si="6"/>
        <v>9199748</v>
      </c>
      <c r="Y86" s="136">
        <f t="shared" si="7"/>
        <v>91997480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12725</v>
      </c>
      <c r="D87" s="221">
        <f>IF(Notes!$B$2="June",ROUND('Budget by Source'!D87/10,0)+S87,ROUND('Budget by Source'!D87/10,0))</f>
        <v>95282</v>
      </c>
      <c r="E87" s="221">
        <f>IF(Notes!$B$2="June",ROUND('Budget by Source'!E87/10,0)+T87,ROUND('Budget by Source'!E87/10,0))</f>
        <v>8554</v>
      </c>
      <c r="F87" s="221">
        <f>IF(Notes!$B$2="June",ROUND('Budget by Source'!F87/10,0)+U87,ROUND('Budget by Source'!F87/10,0))</f>
        <v>8380</v>
      </c>
      <c r="G87" s="221">
        <f>IF(Notes!$B$2="June",ROUND('Budget by Source'!G87/10,0)+V87,ROUND('Budget by Source'!G87/10,0))</f>
        <v>42420</v>
      </c>
      <c r="H87" s="221">
        <f>INDEX('AEA Funding and Payments'!$A$8:$T$332,MATCH('Payment by Source'!$A87,'AEA Funding and Payments'!$A$8:$A$332,0),MATCH(H$5,'AEA Funding and Payments'!$A$4:$T$4,0))</f>
        <v>23210</v>
      </c>
      <c r="I87" s="221">
        <f>IF(Notes!$B$2="June",INDEX('AEA Funding and Payments'!$A$8:$AI$332,MATCH('Payment by Source'!$A87,'AEA Funding and Payments'!$A$8:$A$332,0),34),
ROUND(INDEX('AEA Funding and Payments'!$A$8:$T$332,MATCH('Payment by Source'!$A87,'AEA Funding and Payments'!$A$8:$A$332,0),MATCH(I$5,'AEA Funding and Payments'!$A$4:$T$4,0))/10,0))</f>
        <v>3548</v>
      </c>
      <c r="J87" s="221">
        <f t="shared" si="5"/>
        <v>679634</v>
      </c>
      <c r="K87" s="221">
        <f>INDEX(Data[],MATCH($A87,Data[Dist],0),MATCH(K$5,Data[#Headers],0))</f>
        <v>873753</v>
      </c>
      <c r="M87" s="59">
        <f>INDEX('Payment Total'!$A$7:$H$331,MATCH('Payment by Source'!$A87,'Payment Total'!$A$7:$A$331,0),6)-K87</f>
        <v>0</v>
      </c>
      <c r="O87" s="263">
        <f t="shared" si="8"/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6812793</v>
      </c>
      <c r="X87" s="136">
        <f t="shared" si="6"/>
        <v>681279</v>
      </c>
      <c r="Y87" s="136">
        <f t="shared" si="7"/>
        <v>6812790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29827</v>
      </c>
      <c r="D88" s="221">
        <f>IF(Notes!$B$2="June",ROUND('Budget by Source'!D88/10,0)+S88,ROUND('Budget by Source'!D88/10,0))</f>
        <v>149842</v>
      </c>
      <c r="E88" s="221">
        <f>IF(Notes!$B$2="June",ROUND('Budget by Source'!E88/10,0)+T88,ROUND('Budget by Source'!E88/10,0))</f>
        <v>12320</v>
      </c>
      <c r="F88" s="221">
        <f>IF(Notes!$B$2="June",ROUND('Budget by Source'!F88/10,0)+U88,ROUND('Budget by Source'!F88/10,0))</f>
        <v>12511</v>
      </c>
      <c r="G88" s="221">
        <f>IF(Notes!$B$2="June",ROUND('Budget by Source'!G88/10,0)+V88,ROUND('Budget by Source'!G88/10,0))</f>
        <v>60540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IF(Notes!$B$2="June",INDEX('AEA Funding and Payments'!$A$8:$AI$332,MATCH('Payment by Source'!$A88,'AEA Funding and Payments'!$A$8:$A$332,0),34),
ROUND(INDEX('AEA Funding and Payments'!$A$8:$T$332,MATCH('Payment by Source'!$A88,'AEA Funding and Payments'!$A$8:$A$332,0),MATCH(I$5,'AEA Funding and Payments'!$A$4:$T$4,0))/10,0))</f>
        <v>5074</v>
      </c>
      <c r="J88" s="221">
        <f t="shared" si="5"/>
        <v>707979</v>
      </c>
      <c r="K88" s="221">
        <f>INDEX(Data[],MATCH($A88,Data[Dist],0),MATCH(K$5,Data[#Headers],0))</f>
        <v>1008467</v>
      </c>
      <c r="M88" s="59">
        <f>INDEX('Payment Total'!$A$7:$H$331,MATCH('Payment by Source'!$A88,'Payment Total'!$A$7:$A$331,0),6)-K88</f>
        <v>0</v>
      </c>
      <c r="O88" s="263">
        <f t="shared" si="8"/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7101660</v>
      </c>
      <c r="X88" s="136">
        <f t="shared" si="6"/>
        <v>710166</v>
      </c>
      <c r="Y88" s="136">
        <f t="shared" si="7"/>
        <v>7101660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5572</v>
      </c>
      <c r="D89" s="221">
        <f>IF(Notes!$B$2="June",ROUND('Budget by Source'!D89/10,0)+S89,ROUND('Budget by Source'!D89/10,0))</f>
        <v>27086</v>
      </c>
      <c r="E89" s="221">
        <f>IF(Notes!$B$2="June",ROUND('Budget by Source'!E89/10,0)+T89,ROUND('Budget by Source'!E89/10,0))</f>
        <v>1451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6909</v>
      </c>
      <c r="H89" s="221">
        <f>INDEX('AEA Funding and Payments'!$A$8:$T$332,MATCH('Payment by Source'!$A89,'AEA Funding and Payments'!$A$8:$A$332,0),MATCH(H$5,'AEA Funding and Payments'!$A$4:$T$4,0))</f>
        <v>3661</v>
      </c>
      <c r="I89" s="221">
        <f>IF(Notes!$B$2="June",INDEX('AEA Funding and Payments'!$A$8:$AI$332,MATCH('Payment by Source'!$A89,'AEA Funding and Payments'!$A$8:$A$332,0),34),
ROUND(INDEX('AEA Funding and Payments'!$A$8:$T$332,MATCH('Payment by Source'!$A89,'AEA Funding and Payments'!$A$8:$A$332,0),MATCH(I$5,'AEA Funding and Payments'!$A$4:$T$4,0))/10,0))</f>
        <v>644</v>
      </c>
      <c r="J89" s="221">
        <f t="shared" si="5"/>
        <v>106334</v>
      </c>
      <c r="K89" s="221">
        <f>INDEX(Data[],MATCH($A89,Data[Dist],0),MATCH(K$5,Data[#Headers],0))</f>
        <v>152617</v>
      </c>
      <c r="M89" s="59">
        <f>INDEX('Payment Total'!$A$7:$H$331,MATCH('Payment by Source'!$A89,'Payment Total'!$A$7:$A$331,0),6)-K89</f>
        <v>0</v>
      </c>
      <c r="O89" s="263">
        <f t="shared" si="8"/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1065968</v>
      </c>
      <c r="X89" s="136">
        <f t="shared" si="6"/>
        <v>106597</v>
      </c>
      <c r="Y89" s="136">
        <f t="shared" si="7"/>
        <v>1065970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39380</v>
      </c>
      <c r="D90" s="221">
        <f>IF(Notes!$B$2="June",ROUND('Budget by Source'!D90/10,0)+S90,ROUND('Budget by Source'!D90/10,0))</f>
        <v>159402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16553</v>
      </c>
      <c r="G90" s="221">
        <f>IF(Notes!$B$2="June",ROUND('Budget by Source'!G90/10,0)+V90,ROUND('Budget by Source'!G90/10,0))</f>
        <v>81375</v>
      </c>
      <c r="H90" s="221">
        <f>INDEX('AEA Funding and Payments'!$A$8:$T$332,MATCH('Payment by Source'!$A90,'AEA Funding and Payments'!$A$8:$A$332,0),MATCH(H$5,'AEA Funding and Payments'!$A$4:$T$4,0))</f>
        <v>42258</v>
      </c>
      <c r="I90" s="221">
        <f>IF(Notes!$B$2="June",INDEX('AEA Funding and Payments'!$A$8:$AI$332,MATCH('Payment by Source'!$A90,'AEA Funding and Payments'!$A$8:$A$332,0),34),
ROUND(INDEX('AEA Funding and Payments'!$A$8:$T$332,MATCH('Payment by Source'!$A90,'AEA Funding and Payments'!$A$8:$A$332,0),MATCH(I$5,'AEA Funding and Payments'!$A$4:$T$4,0))/10,0))</f>
        <v>6689</v>
      </c>
      <c r="J90" s="221">
        <f t="shared" si="5"/>
        <v>1533627</v>
      </c>
      <c r="K90" s="221">
        <f>INDEX(Data[],MATCH($A90,Data[Dist],0),MATCH(K$5,Data[#Headers],0))</f>
        <v>1899179</v>
      </c>
      <c r="M90" s="59">
        <f>INDEX('Payment Total'!$A$7:$H$331,MATCH('Payment by Source'!$A90,'Payment Total'!$A$7:$A$331,0),6)-K90</f>
        <v>0</v>
      </c>
      <c r="O90" s="263">
        <f t="shared" si="8"/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15366358</v>
      </c>
      <c r="X90" s="136">
        <f t="shared" si="6"/>
        <v>1536636</v>
      </c>
      <c r="Y90" s="136">
        <f t="shared" si="7"/>
        <v>15366360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21886</v>
      </c>
      <c r="D91" s="221">
        <f>IF(Notes!$B$2="June",ROUND('Budget by Source'!D91/10,0)+S91,ROUND('Budget by Source'!D91/10,0))</f>
        <v>80990</v>
      </c>
      <c r="E91" s="221">
        <f>IF(Notes!$B$2="June",ROUND('Budget by Source'!E91/10,0)+T91,ROUND('Budget by Source'!E91/10,0))</f>
        <v>5947</v>
      </c>
      <c r="F91" s="221">
        <f>IF(Notes!$B$2="June",ROUND('Budget by Source'!F91/10,0)+U91,ROUND('Budget by Source'!F91/10,0))</f>
        <v>5917</v>
      </c>
      <c r="G91" s="221">
        <f>IF(Notes!$B$2="June",ROUND('Budget by Source'!G91/10,0)+V91,ROUND('Budget by Source'!G91/10,0))</f>
        <v>33872</v>
      </c>
      <c r="H91" s="221">
        <f>INDEX('AEA Funding and Payments'!$A$8:$T$332,MATCH('Payment by Source'!$A91,'AEA Funding and Payments'!$A$8:$A$332,0),MATCH(H$5,'AEA Funding and Payments'!$A$4:$T$4,0))</f>
        <v>17851</v>
      </c>
      <c r="I91" s="221">
        <f>IF(Notes!$B$2="June",INDEX('AEA Funding and Payments'!$A$8:$AI$332,MATCH('Payment by Source'!$A91,'AEA Funding and Payments'!$A$8:$A$332,0),34),
ROUND(INDEX('AEA Funding and Payments'!$A$8:$T$332,MATCH('Payment by Source'!$A91,'AEA Funding and Payments'!$A$8:$A$332,0),MATCH(I$5,'AEA Funding and Payments'!$A$4:$T$4,0))/10,0))</f>
        <v>2788</v>
      </c>
      <c r="J91" s="221">
        <f t="shared" si="5"/>
        <v>568364</v>
      </c>
      <c r="K91" s="221">
        <f>INDEX(Data[],MATCH($A91,Data[Dist],0),MATCH(K$5,Data[#Headers],0))</f>
        <v>737615</v>
      </c>
      <c r="M91" s="59">
        <f>INDEX('Payment Total'!$A$7:$H$331,MATCH('Payment by Source'!$A91,'Payment Total'!$A$7:$A$331,0),6)-K91</f>
        <v>0</v>
      </c>
      <c r="O91" s="263">
        <f t="shared" si="8"/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5696725</v>
      </c>
      <c r="X91" s="136">
        <f t="shared" si="6"/>
        <v>569673</v>
      </c>
      <c r="Y91" s="136">
        <f t="shared" si="7"/>
        <v>5696730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543709</v>
      </c>
      <c r="D92" s="221">
        <f>IF(Notes!$B$2="June",ROUND('Budget by Source'!D92/10,0)+S92,ROUND('Budget by Source'!D92/10,0))</f>
        <v>2360008</v>
      </c>
      <c r="E92" s="221">
        <f>IF(Notes!$B$2="June",ROUND('Budget by Source'!E92/10,0)+T92,ROUND('Budget by Source'!E92/10,0))</f>
        <v>344574</v>
      </c>
      <c r="F92" s="221">
        <f>IF(Notes!$B$2="June",ROUND('Budget by Source'!F92/10,0)+U92,ROUND('Budget by Source'!F92/10,0))</f>
        <v>289664</v>
      </c>
      <c r="G92" s="221">
        <f>IF(Notes!$B$2="June",ROUND('Budget by Source'!G92/10,0)+V92,ROUND('Budget by Source'!G92/10,0))</f>
        <v>1274472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IF(Notes!$B$2="June",INDEX('AEA Funding and Payments'!$A$8:$AI$332,MATCH('Payment by Source'!$A92,'AEA Funding and Payments'!$A$8:$A$332,0),34),
ROUND(INDEX('AEA Funding and Payments'!$A$8:$T$332,MATCH('Payment by Source'!$A92,'AEA Funding and Payments'!$A$8:$A$332,0),MATCH(I$5,'AEA Funding and Payments'!$A$4:$T$4,0))/10,0))</f>
        <v>102458</v>
      </c>
      <c r="J92" s="221">
        <f t="shared" si="5"/>
        <v>23572529</v>
      </c>
      <c r="K92" s="221">
        <f>INDEX(Data[],MATCH($A92,Data[Dist],0),MATCH(K$5,Data[#Headers],0))</f>
        <v>29173086</v>
      </c>
      <c r="M92" s="59">
        <f>INDEX('Payment Total'!$A$7:$H$331,MATCH('Payment by Source'!$A92,'Payment Total'!$A$7:$A$331,0),6)-K92</f>
        <v>0</v>
      </c>
      <c r="O92" s="263">
        <f t="shared" si="8"/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236194007</v>
      </c>
      <c r="X92" s="136">
        <f t="shared" si="6"/>
        <v>23619401</v>
      </c>
      <c r="Y92" s="136">
        <f t="shared" si="7"/>
        <v>236194010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2786</v>
      </c>
      <c r="D93" s="221">
        <f>IF(Notes!$B$2="June",ROUND('Budget by Source'!D93/10,0)+S93,ROUND('Budget by Source'!D93/10,0))</f>
        <v>30243</v>
      </c>
      <c r="E93" s="221">
        <f>IF(Notes!$B$2="June",ROUND('Budget by Source'!E93/10,0)+T93,ROUND('Budget by Source'!E93/10,0))</f>
        <v>1051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3464</v>
      </c>
      <c r="H93" s="221">
        <f>INDEX('AEA Funding and Payments'!$A$8:$T$332,MATCH('Payment by Source'!$A93,'AEA Funding and Payments'!$A$8:$A$332,0),MATCH(H$5,'AEA Funding and Payments'!$A$4:$T$4,0))</f>
        <v>1869</v>
      </c>
      <c r="I93" s="221">
        <f>IF(Notes!$B$2="June",INDEX('AEA Funding and Payments'!$A$8:$AI$332,MATCH('Payment by Source'!$A93,'AEA Funding and Payments'!$A$8:$A$332,0),34),
ROUND(INDEX('AEA Funding and Payments'!$A$8:$T$332,MATCH('Payment by Source'!$A93,'AEA Funding and Payments'!$A$8:$A$332,0),MATCH(I$5,'AEA Funding and Payments'!$A$4:$T$4,0))/10,0))</f>
        <v>363</v>
      </c>
      <c r="J93" s="221">
        <f t="shared" si="5"/>
        <v>61762</v>
      </c>
      <c r="K93" s="221">
        <f>INDEX(Data[],MATCH($A93,Data[Dist],0),MATCH(K$5,Data[#Headers],0))</f>
        <v>102494</v>
      </c>
      <c r="M93" s="59">
        <f>INDEX('Payment Total'!$A$7:$H$331,MATCH('Payment by Source'!$A93,'Payment Total'!$A$7:$A$331,0),6)-K93</f>
        <v>0</v>
      </c>
      <c r="O93" s="263">
        <f t="shared" si="8"/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618992</v>
      </c>
      <c r="X93" s="136">
        <f t="shared" si="6"/>
        <v>61899</v>
      </c>
      <c r="Y93" s="136">
        <f t="shared" si="7"/>
        <v>618990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17902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6276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33144</v>
      </c>
      <c r="H94" s="221">
        <f>INDEX('AEA Funding and Payments'!$A$8:$T$332,MATCH('Payment by Source'!$A94,'AEA Funding and Payments'!$A$8:$A$332,0),MATCH(H$5,'AEA Funding and Payments'!$A$4:$T$4,0))</f>
        <v>18143</v>
      </c>
      <c r="I94" s="221">
        <f>IF(Notes!$B$2="June",INDEX('AEA Funding and Payments'!$A$8:$AI$332,MATCH('Payment by Source'!$A94,'AEA Funding and Payments'!$A$8:$A$332,0),34),
ROUND(INDEX('AEA Funding and Payments'!$A$8:$T$332,MATCH('Payment by Source'!$A94,'AEA Funding and Payments'!$A$8:$A$332,0),MATCH(I$5,'AEA Funding and Payments'!$A$4:$T$4,0))/10,0))</f>
        <v>2842</v>
      </c>
      <c r="J94" s="221">
        <f t="shared" si="5"/>
        <v>541596</v>
      </c>
      <c r="K94" s="221">
        <f>INDEX(Data[],MATCH($A94,Data[Dist],0),MATCH(K$5,Data[#Headers],0))</f>
        <v>712694</v>
      </c>
      <c r="M94" s="59">
        <f>INDEX('Payment Total'!$A$7:$H$331,MATCH('Payment by Source'!$A94,'Payment Total'!$A$7:$A$331,0),6)-K94</f>
        <v>0</v>
      </c>
      <c r="O94" s="263">
        <f t="shared" si="8"/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5428985</v>
      </c>
      <c r="X94" s="136">
        <f t="shared" si="6"/>
        <v>542899</v>
      </c>
      <c r="Y94" s="136">
        <f t="shared" si="7"/>
        <v>5428990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267670</v>
      </c>
      <c r="D95" s="221">
        <f>IF(Notes!$B$2="June",ROUND('Budget by Source'!D95/10,0)+S95,ROUND('Budget by Source'!D95/10,0))</f>
        <v>990894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92249</v>
      </c>
      <c r="G95" s="221">
        <f>IF(Notes!$B$2="June",ROUND('Budget by Source'!G95/10,0)+V95,ROUND('Budget by Source'!G95/10,0))</f>
        <v>428203</v>
      </c>
      <c r="H95" s="221">
        <f>INDEX('AEA Funding and Payments'!$A$8:$T$332,MATCH('Payment by Source'!$A95,'AEA Funding and Payments'!$A$8:$A$332,0),MATCH(H$5,'AEA Funding and Payments'!$A$4:$T$4,0))</f>
        <v>219199</v>
      </c>
      <c r="I95" s="221">
        <f>IF(Notes!$B$2="June",INDEX('AEA Funding and Payments'!$A$8:$AI$332,MATCH('Payment by Source'!$A95,'AEA Funding and Payments'!$A$8:$A$332,0),34),
ROUND(INDEX('AEA Funding and Payments'!$A$8:$T$332,MATCH('Payment by Source'!$A95,'AEA Funding and Payments'!$A$8:$A$332,0),MATCH(I$5,'AEA Funding and Payments'!$A$4:$T$4,0))/10,0))</f>
        <v>35759</v>
      </c>
      <c r="J95" s="221">
        <f t="shared" si="5"/>
        <v>6348105</v>
      </c>
      <c r="K95" s="221">
        <f>INDEX(Data[],MATCH($A95,Data[Dist],0),MATCH(K$5,Data[#Headers],0))</f>
        <v>8476236</v>
      </c>
      <c r="M95" s="59">
        <f>INDEX('Payment Total'!$A$7:$H$331,MATCH('Payment by Source'!$A95,'Payment Total'!$A$7:$A$331,0),6)-K95</f>
        <v>0</v>
      </c>
      <c r="O95" s="263">
        <f t="shared" si="8"/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63630932</v>
      </c>
      <c r="X95" s="136">
        <f t="shared" si="6"/>
        <v>6363093</v>
      </c>
      <c r="Y95" s="136">
        <f t="shared" si="7"/>
        <v>63630930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7953</v>
      </c>
      <c r="D96" s="221">
        <f>IF(Notes!$B$2="June",ROUND('Budget by Source'!D96/10,0)+S96,ROUND('Budget by Source'!D96/10,0))</f>
        <v>50566</v>
      </c>
      <c r="E96" s="221">
        <f>IF(Notes!$B$2="June",ROUND('Budget by Source'!E96/10,0)+T96,ROUND('Budget by Source'!E96/10,0))</f>
        <v>2903</v>
      </c>
      <c r="F96" s="221">
        <f>IF(Notes!$B$2="June",ROUND('Budget by Source'!F96/10,0)+U96,ROUND('Budget by Source'!F96/10,0))</f>
        <v>2701</v>
      </c>
      <c r="G96" s="221">
        <f>IF(Notes!$B$2="June",ROUND('Budget by Source'!G96/10,0)+V96,ROUND('Budget by Source'!G96/10,0))</f>
        <v>13799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IF(Notes!$B$2="June",INDEX('AEA Funding and Payments'!$A$8:$AI$332,MATCH('Payment by Source'!$A96,'AEA Funding and Payments'!$A$8:$A$332,0),34),
ROUND(INDEX('AEA Funding and Payments'!$A$8:$T$332,MATCH('Payment by Source'!$A96,'AEA Funding and Payments'!$A$8:$A$332,0),MATCH(I$5,'AEA Funding and Payments'!$A$4:$T$4,0))/10,0))</f>
        <v>1296</v>
      </c>
      <c r="J96" s="221">
        <f t="shared" si="5"/>
        <v>199220</v>
      </c>
      <c r="K96" s="221">
        <f>INDEX(Data[],MATCH($A96,Data[Dist],0),MATCH(K$5,Data[#Headers],0))</f>
        <v>285809</v>
      </c>
      <c r="M96" s="59">
        <f>INDEX('Payment Total'!$A$7:$H$331,MATCH('Payment by Source'!$A96,'Payment Total'!$A$7:$A$331,0),6)-K96</f>
        <v>0</v>
      </c>
      <c r="O96" s="263">
        <f t="shared" si="8"/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1997346</v>
      </c>
      <c r="X96" s="136">
        <f t="shared" si="6"/>
        <v>199735</v>
      </c>
      <c r="Y96" s="136">
        <f t="shared" si="7"/>
        <v>1997350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7558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3396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8221</v>
      </c>
      <c r="I97" s="221">
        <f>IF(Notes!$B$2="June",INDEX('AEA Funding and Payments'!$A$8:$AI$332,MATCH('Payment by Source'!$A97,'AEA Funding and Payments'!$A$8:$A$332,0),34),
ROUND(INDEX('AEA Funding and Payments'!$A$8:$T$332,MATCH('Payment by Source'!$A97,'AEA Funding and Payments'!$A$8:$A$332,0),MATCH(I$5,'AEA Funding and Payments'!$A$4:$T$4,0))/10,0))</f>
        <v>1273</v>
      </c>
      <c r="J97" s="221">
        <f t="shared" si="5"/>
        <v>177347</v>
      </c>
      <c r="K97" s="221">
        <f>INDEX(Data[],MATCH($A97,Data[Dist],0),MATCH(K$5,Data[#Headers],0))</f>
        <v>264342</v>
      </c>
      <c r="M97" s="59">
        <f>INDEX('Payment Total'!$A$7:$H$331,MATCH('Payment by Source'!$A97,'Payment Total'!$A$7:$A$331,0),6)-K97</f>
        <v>0</v>
      </c>
      <c r="O97" s="263">
        <f t="shared" si="8"/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1779376</v>
      </c>
      <c r="X97" s="136">
        <f t="shared" si="6"/>
        <v>177938</v>
      </c>
      <c r="Y97" s="136">
        <f t="shared" si="7"/>
        <v>1779380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11530</v>
      </c>
      <c r="D98" s="221">
        <f>IF(Notes!$B$2="June",ROUND('Budget by Source'!D98/10,0)+S98,ROUND('Budget by Source'!D98/10,0))</f>
        <v>49087</v>
      </c>
      <c r="E98" s="221">
        <f>IF(Notes!$B$2="June",ROUND('Budget by Source'!E98/10,0)+T98,ROUND('Budget by Source'!E98/10,0))</f>
        <v>3628</v>
      </c>
      <c r="F98" s="221">
        <f>IF(Notes!$B$2="June",ROUND('Budget by Source'!F98/10,0)+U98,ROUND('Budget by Source'!F98/10,0))</f>
        <v>4319</v>
      </c>
      <c r="G98" s="221">
        <f>IF(Notes!$B$2="June",ROUND('Budget by Source'!G98/10,0)+V98,ROUND('Budget by Source'!G98/10,0))</f>
        <v>18633</v>
      </c>
      <c r="H98" s="221">
        <f>INDEX('AEA Funding and Payments'!$A$8:$T$332,MATCH('Payment by Source'!$A98,'AEA Funding and Payments'!$A$8:$A$332,0),MATCH(H$5,'AEA Funding and Payments'!$A$4:$T$4,0))</f>
        <v>9829</v>
      </c>
      <c r="I98" s="221">
        <f>IF(Notes!$B$2="June",INDEX('AEA Funding and Payments'!$A$8:$AI$332,MATCH('Payment by Source'!$A98,'AEA Funding and Payments'!$A$8:$A$332,0),34),
ROUND(INDEX('AEA Funding and Payments'!$A$8:$T$332,MATCH('Payment by Source'!$A98,'AEA Funding and Payments'!$A$8:$A$332,0),MATCH(I$5,'AEA Funding and Payments'!$A$4:$T$4,0))/10,0))</f>
        <v>1622</v>
      </c>
      <c r="J98" s="221">
        <f t="shared" si="5"/>
        <v>239400</v>
      </c>
      <c r="K98" s="221">
        <f>INDEX(Data[],MATCH($A98,Data[Dist],0),MATCH(K$5,Data[#Headers],0))</f>
        <v>338048</v>
      </c>
      <c r="M98" s="59">
        <f>INDEX('Payment Total'!$A$7:$H$331,MATCH('Payment by Source'!$A98,'Payment Total'!$A$7:$A$331,0),6)-K98</f>
        <v>0</v>
      </c>
      <c r="O98" s="263">
        <f t="shared" si="8"/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2401183</v>
      </c>
      <c r="X98" s="136">
        <f t="shared" si="6"/>
        <v>240118</v>
      </c>
      <c r="Y98" s="136">
        <f t="shared" si="7"/>
        <v>2401180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19492</v>
      </c>
      <c r="D99" s="221">
        <f>IF(Notes!$B$2="June",ROUND('Budget by Source'!D99/10,0)+S99,ROUND('Budget by Source'!D99/10,0))</f>
        <v>95999</v>
      </c>
      <c r="E99" s="221">
        <f>IF(Notes!$B$2="June",ROUND('Budget by Source'!E99/10,0)+T99,ROUND('Budget by Source'!E99/10,0))</f>
        <v>7134</v>
      </c>
      <c r="F99" s="221">
        <f>IF(Notes!$B$2="June",ROUND('Budget by Source'!F99/10,0)+U99,ROUND('Budget by Source'!F99/10,0))</f>
        <v>5995</v>
      </c>
      <c r="G99" s="221">
        <f>IF(Notes!$B$2="June",ROUND('Budget by Source'!G99/10,0)+V99,ROUND('Budget by Source'!G99/10,0))</f>
        <v>36179</v>
      </c>
      <c r="H99" s="221">
        <f>INDEX('AEA Funding and Payments'!$A$8:$T$332,MATCH('Payment by Source'!$A99,'AEA Funding and Payments'!$A$8:$A$332,0),MATCH(H$5,'AEA Funding and Payments'!$A$4:$T$4,0))</f>
        <v>19685</v>
      </c>
      <c r="I99" s="221">
        <f>IF(Notes!$B$2="June",INDEX('AEA Funding and Payments'!$A$8:$AI$332,MATCH('Payment by Source'!$A99,'AEA Funding and Payments'!$A$8:$A$332,0),34),
ROUND(INDEX('AEA Funding and Payments'!$A$8:$T$332,MATCH('Payment by Source'!$A99,'AEA Funding and Payments'!$A$8:$A$332,0),MATCH(I$5,'AEA Funding and Payments'!$A$4:$T$4,0))/10,0))</f>
        <v>3274</v>
      </c>
      <c r="J99" s="221">
        <f t="shared" si="5"/>
        <v>528732</v>
      </c>
      <c r="K99" s="221">
        <f>INDEX(Data[],MATCH($A99,Data[Dist],0),MATCH(K$5,Data[#Headers],0))</f>
        <v>716490</v>
      </c>
      <c r="M99" s="59">
        <f>INDEX('Payment Total'!$A$7:$H$331,MATCH('Payment by Source'!$A99,'Payment Total'!$A$7:$A$331,0),6)-K99</f>
        <v>0</v>
      </c>
      <c r="O99" s="263">
        <f t="shared" si="8"/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5301161</v>
      </c>
      <c r="X99" s="136">
        <f t="shared" si="6"/>
        <v>530116</v>
      </c>
      <c r="Y99" s="136">
        <f t="shared" si="7"/>
        <v>5301160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18693</v>
      </c>
      <c r="D100" s="221">
        <f>IF(Notes!$B$2="June",ROUND('Budget by Source'!D100/10,0)+S100,ROUND('Budget by Source'!D100/10,0))</f>
        <v>112254</v>
      </c>
      <c r="E100" s="221">
        <f>IF(Notes!$B$2="June",ROUND('Budget by Source'!E100/10,0)+T100,ROUND('Budget by Source'!E100/10,0))</f>
        <v>8442</v>
      </c>
      <c r="F100" s="221">
        <f>IF(Notes!$B$2="June",ROUND('Budget by Source'!F100/10,0)+U100,ROUND('Budget by Source'!F100/10,0))</f>
        <v>7536</v>
      </c>
      <c r="G100" s="221">
        <f>IF(Notes!$B$2="June",ROUND('Budget by Source'!G100/10,0)+V100,ROUND('Budget by Source'!G100/10,0))</f>
        <v>37721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IF(Notes!$B$2="June",INDEX('AEA Funding and Payments'!$A$8:$AI$332,MATCH('Payment by Source'!$A100,'AEA Funding and Payments'!$A$8:$A$332,0),34),
ROUND(INDEX('AEA Funding and Payments'!$A$8:$T$332,MATCH('Payment by Source'!$A100,'AEA Funding and Payments'!$A$8:$A$332,0),MATCH(I$5,'AEA Funding and Payments'!$A$4:$T$4,0))/10,0))</f>
        <v>3299</v>
      </c>
      <c r="J100" s="221">
        <f t="shared" si="5"/>
        <v>638855</v>
      </c>
      <c r="K100" s="221">
        <f>INDEX(Data[],MATCH($A100,Data[Dist],0),MATCH(K$5,Data[#Headers],0))</f>
        <v>847319</v>
      </c>
      <c r="M100" s="59">
        <f>INDEX('Payment Total'!$A$7:$H$331,MATCH('Payment by Source'!$A100,'Payment Total'!$A$7:$A$331,0),6)-K100</f>
        <v>0</v>
      </c>
      <c r="O100" s="263">
        <f t="shared" si="8"/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6403316</v>
      </c>
      <c r="X100" s="136">
        <f t="shared" si="6"/>
        <v>640332</v>
      </c>
      <c r="Y100" s="136">
        <f t="shared" si="7"/>
        <v>6403320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14720</v>
      </c>
      <c r="D101" s="221">
        <f>IF(Notes!$B$2="June",ROUND('Budget by Source'!D101/10,0)+S101,ROUND('Budget by Source'!D101/10,0))</f>
        <v>85121</v>
      </c>
      <c r="E101" s="221">
        <f>IF(Notes!$B$2="June",ROUND('Budget by Source'!E101/10,0)+T101,ROUND('Budget by Source'!E101/10,0))</f>
        <v>4807</v>
      </c>
      <c r="F101" s="221">
        <f>IF(Notes!$B$2="June",ROUND('Budget by Source'!F101/10,0)+U101,ROUND('Budget by Source'!F101/10,0))</f>
        <v>4263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11707</v>
      </c>
      <c r="I101" s="221">
        <f>IF(Notes!$B$2="June",INDEX('AEA Funding and Payments'!$A$8:$AI$332,MATCH('Payment by Source'!$A101,'AEA Funding and Payments'!$A$8:$A$332,0),34),
ROUND(INDEX('AEA Funding and Payments'!$A$8:$T$332,MATCH('Payment by Source'!$A101,'AEA Funding and Payments'!$A$8:$A$332,0),MATCH(I$5,'AEA Funding and Payments'!$A$4:$T$4,0))/10,0))</f>
        <v>1749</v>
      </c>
      <c r="J101" s="221">
        <f t="shared" si="5"/>
        <v>328691</v>
      </c>
      <c r="K101" s="221">
        <f>INDEX(Data[],MATCH($A101,Data[Dist],0),MATCH(K$5,Data[#Headers],0))</f>
        <v>473243</v>
      </c>
      <c r="M101" s="59">
        <f>INDEX('Payment Total'!$A$7:$H$331,MATCH('Payment by Source'!$A101,'Payment Total'!$A$7:$A$331,0),6)-K101</f>
        <v>0</v>
      </c>
      <c r="O101" s="263">
        <f t="shared" si="8"/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3295685</v>
      </c>
      <c r="X101" s="136">
        <f t="shared" si="6"/>
        <v>329569</v>
      </c>
      <c r="Y101" s="136">
        <f t="shared" si="7"/>
        <v>3295690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11530</v>
      </c>
      <c r="D102" s="221">
        <f>IF(Notes!$B$2="June",ROUND('Budget by Source'!D102/10,0)+S102,ROUND('Budget by Source'!D102/10,0))</f>
        <v>54466</v>
      </c>
      <c r="E102" s="221">
        <f>IF(Notes!$B$2="June",ROUND('Budget by Source'!E102/10,0)+T102,ROUND('Budget by Source'!E102/10,0))</f>
        <v>4202</v>
      </c>
      <c r="F102" s="221">
        <f>IF(Notes!$B$2="June",ROUND('Budget by Source'!F102/10,0)+U102,ROUND('Budget by Source'!F102/10,0))</f>
        <v>3980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IF(Notes!$B$2="June",INDEX('AEA Funding and Payments'!$A$8:$AI$332,MATCH('Payment by Source'!$A102,'AEA Funding and Payments'!$A$8:$A$332,0),34),
ROUND(INDEX('AEA Funding and Payments'!$A$8:$T$332,MATCH('Payment by Source'!$A102,'AEA Funding and Payments'!$A$8:$A$332,0),MATCH(I$5,'AEA Funding and Payments'!$A$4:$T$4,0))/10,0))</f>
        <v>1810</v>
      </c>
      <c r="J102" s="221">
        <f t="shared" si="5"/>
        <v>295132</v>
      </c>
      <c r="K102" s="221">
        <f>INDEX(Data[],MATCH($A102,Data[Dist],0),MATCH(K$5,Data[#Headers],0))</f>
        <v>401925</v>
      </c>
      <c r="M102" s="59">
        <f>INDEX('Payment Total'!$A$7:$H$331,MATCH('Payment by Source'!$A102,'Payment Total'!$A$7:$A$331,0),6)-K102</f>
        <v>0</v>
      </c>
      <c r="O102" s="263">
        <f t="shared" si="8"/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2958970</v>
      </c>
      <c r="X102" s="136">
        <f t="shared" si="6"/>
        <v>295897</v>
      </c>
      <c r="Y102" s="136">
        <f t="shared" si="7"/>
        <v>2958970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11135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3969</v>
      </c>
      <c r="F103" s="221">
        <f>IF(Notes!$B$2="June",ROUND('Budget by Source'!F103/10,0)+U103,ROUND('Budget by Source'!F103/10,0))</f>
        <v>4180</v>
      </c>
      <c r="G103" s="221">
        <f>IF(Notes!$B$2="June",ROUND('Budget by Source'!G103/10,0)+V103,ROUND('Budget by Source'!G103/10,0))</f>
        <v>20975</v>
      </c>
      <c r="H103" s="221">
        <f>INDEX('AEA Funding and Payments'!$A$8:$T$332,MATCH('Payment by Source'!$A103,'AEA Funding and Payments'!$A$8:$A$332,0),MATCH(H$5,'AEA Funding and Payments'!$A$4:$T$4,0))</f>
        <v>11233</v>
      </c>
      <c r="I103" s="221">
        <f>IF(Notes!$B$2="June",INDEX('AEA Funding and Payments'!$A$8:$AI$332,MATCH('Payment by Source'!$A103,'AEA Funding and Payments'!$A$8:$A$332,0),34),
ROUND(INDEX('AEA Funding and Payments'!$A$8:$T$332,MATCH('Payment by Source'!$A103,'AEA Funding and Payments'!$A$8:$A$332,0),MATCH(I$5,'AEA Funding and Payments'!$A$4:$T$4,0))/10,0))</f>
        <v>1868</v>
      </c>
      <c r="J103" s="221">
        <f t="shared" si="5"/>
        <v>302734</v>
      </c>
      <c r="K103" s="221">
        <f>INDEX(Data[],MATCH($A103,Data[Dist],0),MATCH(K$5,Data[#Headers],0))</f>
        <v>442766</v>
      </c>
      <c r="M103" s="59">
        <f>INDEX('Payment Total'!$A$7:$H$331,MATCH('Payment by Source'!$A103,'Payment Total'!$A$7:$A$331,0),6)-K103</f>
        <v>0</v>
      </c>
      <c r="O103" s="263">
        <f t="shared" si="8"/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3035477</v>
      </c>
      <c r="X103" s="136">
        <f t="shared" si="6"/>
        <v>303548</v>
      </c>
      <c r="Y103" s="136">
        <f t="shared" si="7"/>
        <v>3035480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8755</v>
      </c>
      <c r="D104" s="221">
        <f>IF(Notes!$B$2="June",ROUND('Budget by Source'!D104/10,0)+S104,ROUND('Budget by Source'!D104/10,0))</f>
        <v>68040</v>
      </c>
      <c r="E104" s="221">
        <f>IF(Notes!$B$2="June",ROUND('Budget by Source'!E104/10,0)+T104,ROUND('Budget by Source'!E104/10,0))</f>
        <v>3920</v>
      </c>
      <c r="F104" s="221">
        <f>IF(Notes!$B$2="June",ROUND('Budget by Source'!F104/10,0)+U104,ROUND('Budget by Source'!F104/10,0))</f>
        <v>3216</v>
      </c>
      <c r="G104" s="221">
        <f>IF(Notes!$B$2="June",ROUND('Budget by Source'!G104/10,0)+V104,ROUND('Budget by Source'!G104/10,0))</f>
        <v>17649</v>
      </c>
      <c r="H104" s="221">
        <f>INDEX('AEA Funding and Payments'!$A$8:$T$332,MATCH('Payment by Source'!$A104,'AEA Funding and Payments'!$A$8:$A$332,0),MATCH(H$5,'AEA Funding and Payments'!$A$4:$T$4,0))</f>
        <v>9411</v>
      </c>
      <c r="I104" s="221">
        <f>IF(Notes!$B$2="June",INDEX('AEA Funding and Payments'!$A$8:$AI$332,MATCH('Payment by Source'!$A104,'AEA Funding and Payments'!$A$8:$A$332,0),34),
ROUND(INDEX('AEA Funding and Payments'!$A$8:$T$332,MATCH('Payment by Source'!$A104,'AEA Funding and Payments'!$A$8:$A$332,0),MATCH(I$5,'AEA Funding and Payments'!$A$4:$T$4,0))/10,0))</f>
        <v>1510</v>
      </c>
      <c r="J104" s="221">
        <f t="shared" si="5"/>
        <v>283431</v>
      </c>
      <c r="K104" s="221">
        <f>INDEX(Data[],MATCH($A104,Data[Dist],0),MATCH(K$5,Data[#Headers],0))</f>
        <v>395932</v>
      </c>
      <c r="M104" s="59">
        <f>INDEX('Payment Total'!$A$7:$H$331,MATCH('Payment by Source'!$A104,'Payment Total'!$A$7:$A$331,0),6)-K104</f>
        <v>0</v>
      </c>
      <c r="O104" s="263">
        <f t="shared" si="8"/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2841156</v>
      </c>
      <c r="X104" s="136">
        <f t="shared" si="6"/>
        <v>284116</v>
      </c>
      <c r="Y104" s="136">
        <f t="shared" si="7"/>
        <v>2841160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9149</v>
      </c>
      <c r="D105" s="221">
        <f>IF(Notes!$B$2="June",ROUND('Budget by Source'!D105/10,0)+S105,ROUND('Budget by Source'!D105/10,0))</f>
        <v>59010</v>
      </c>
      <c r="E105" s="221">
        <f>IF(Notes!$B$2="June",ROUND('Budget by Source'!E105/10,0)+T105,ROUND('Budget by Source'!E105/10,0))</f>
        <v>2806</v>
      </c>
      <c r="F105" s="221">
        <f>IF(Notes!$B$2="June",ROUND('Budget by Source'!F105/10,0)+U105,ROUND('Budget by Source'!F105/10,0))</f>
        <v>2344</v>
      </c>
      <c r="G105" s="221">
        <f>IF(Notes!$B$2="June",ROUND('Budget by Source'!G105/10,0)+V105,ROUND('Budget by Source'!G105/10,0))</f>
        <v>12211</v>
      </c>
      <c r="H105" s="221">
        <f>INDEX('AEA Funding and Payments'!$A$8:$T$332,MATCH('Payment by Source'!$A105,'AEA Funding and Payments'!$A$8:$A$332,0),MATCH(H$5,'AEA Funding and Payments'!$A$4:$T$4,0))</f>
        <v>6448</v>
      </c>
      <c r="I105" s="221">
        <f>IF(Notes!$B$2="June",INDEX('AEA Funding and Payments'!$A$8:$AI$332,MATCH('Payment by Source'!$A105,'AEA Funding and Payments'!$A$8:$A$332,0),34),
ROUND(INDEX('AEA Funding and Payments'!$A$8:$T$332,MATCH('Payment by Source'!$A105,'AEA Funding and Payments'!$A$8:$A$332,0),MATCH(I$5,'AEA Funding and Payments'!$A$4:$T$4,0))/10,0))</f>
        <v>1110</v>
      </c>
      <c r="J105" s="221">
        <f t="shared" si="5"/>
        <v>154603</v>
      </c>
      <c r="K105" s="221">
        <f>INDEX(Data[],MATCH($A105,Data[Dist],0),MATCH(K$5,Data[#Headers],0))</f>
        <v>247681</v>
      </c>
      <c r="M105" s="59">
        <f>INDEX('Payment Total'!$A$7:$H$331,MATCH('Payment by Source'!$A105,'Payment Total'!$A$7:$A$331,0),6)-K105</f>
        <v>0</v>
      </c>
      <c r="O105" s="263">
        <f t="shared" si="8"/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1550712</v>
      </c>
      <c r="X105" s="136">
        <f t="shared" si="6"/>
        <v>155071</v>
      </c>
      <c r="Y105" s="136">
        <f t="shared" si="7"/>
        <v>1550710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7953</v>
      </c>
      <c r="D106" s="221">
        <f>IF(Notes!$B$2="June",ROUND('Budget by Source'!D106/10,0)+S106,ROUND('Budget by Source'!D106/10,0))</f>
        <v>45580</v>
      </c>
      <c r="E106" s="221">
        <f>IF(Notes!$B$2="June",ROUND('Budget by Source'!E106/10,0)+T106,ROUND('Budget by Source'!E106/10,0))</f>
        <v>3314</v>
      </c>
      <c r="F106" s="221">
        <f>IF(Notes!$B$2="June",ROUND('Budget by Source'!F106/10,0)+U106,ROUND('Budget by Source'!F106/10,0))</f>
        <v>2958</v>
      </c>
      <c r="G106" s="221">
        <f>IF(Notes!$B$2="June",ROUND('Budget by Source'!G106/10,0)+V106,ROUND('Budget by Source'!G106/10,0))</f>
        <v>14089</v>
      </c>
      <c r="H106" s="221">
        <f>INDEX('AEA Funding and Payments'!$A$8:$T$332,MATCH('Payment by Source'!$A106,'AEA Funding and Payments'!$A$8:$A$332,0),MATCH(H$5,'AEA Funding and Payments'!$A$4:$T$4,0))</f>
        <v>8184</v>
      </c>
      <c r="I106" s="221">
        <f>IF(Notes!$B$2="June",INDEX('AEA Funding and Payments'!$A$8:$AI$332,MATCH('Payment by Source'!$A106,'AEA Funding and Payments'!$A$8:$A$332,0),34),
ROUND(INDEX('AEA Funding and Payments'!$A$8:$T$332,MATCH('Payment by Source'!$A106,'AEA Funding and Payments'!$A$8:$A$332,0),MATCH(I$5,'AEA Funding and Payments'!$A$4:$T$4,0))/10,0))</f>
        <v>1295</v>
      </c>
      <c r="J106" s="221">
        <f t="shared" si="5"/>
        <v>184985</v>
      </c>
      <c r="K106" s="221">
        <f>INDEX(Data[],MATCH($A106,Data[Dist],0),MATCH(K$5,Data[#Headers],0))</f>
        <v>268358</v>
      </c>
      <c r="M106" s="59">
        <f>INDEX('Payment Total'!$A$7:$H$331,MATCH('Payment by Source'!$A106,'Payment Total'!$A$7:$A$331,0),6)-K106</f>
        <v>0</v>
      </c>
      <c r="O106" s="263">
        <f t="shared" si="8"/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1855309</v>
      </c>
      <c r="X106" s="136">
        <f t="shared" si="6"/>
        <v>185531</v>
      </c>
      <c r="Y106" s="136">
        <f t="shared" si="7"/>
        <v>1855310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12340</v>
      </c>
      <c r="D107" s="221">
        <f>IF(Notes!$B$2="June",ROUND('Budget by Source'!D107/10,0)+S107,ROUND('Budget by Source'!D107/10,0))</f>
        <v>68971</v>
      </c>
      <c r="E107" s="221">
        <f>IF(Notes!$B$2="June",ROUND('Budget by Source'!E107/10,0)+T107,ROUND('Budget by Source'!E107/10,0))</f>
        <v>3527</v>
      </c>
      <c r="F107" s="221">
        <f>IF(Notes!$B$2="June",ROUND('Budget by Source'!F107/10,0)+U107,ROUND('Budget by Source'!F107/10,0))</f>
        <v>3276</v>
      </c>
      <c r="G107" s="221">
        <f>IF(Notes!$B$2="June",ROUND('Budget by Source'!G107/10,0)+V107,ROUND('Budget by Source'!G107/10,0))</f>
        <v>15253</v>
      </c>
      <c r="H107" s="221">
        <f>INDEX('AEA Funding and Payments'!$A$8:$T$332,MATCH('Payment by Source'!$A107,'AEA Funding and Payments'!$A$8:$A$332,0),MATCH(H$5,'AEA Funding and Payments'!$A$4:$T$4,0))</f>
        <v>7718</v>
      </c>
      <c r="I107" s="221">
        <f>IF(Notes!$B$2="June",INDEX('AEA Funding and Payments'!$A$8:$AI$332,MATCH('Payment by Source'!$A107,'AEA Funding and Payments'!$A$8:$A$332,0),34),
ROUND(INDEX('AEA Funding and Payments'!$A$8:$T$332,MATCH('Payment by Source'!$A107,'AEA Funding and Payments'!$A$8:$A$332,0),MATCH(I$5,'AEA Funding and Payments'!$A$4:$T$4,0))/10,0))</f>
        <v>1257</v>
      </c>
      <c r="J107" s="221">
        <f t="shared" si="5"/>
        <v>213122</v>
      </c>
      <c r="K107" s="221">
        <f>INDEX(Data[],MATCH($A107,Data[Dist],0),MATCH(K$5,Data[#Headers],0))</f>
        <v>325464</v>
      </c>
      <c r="M107" s="59">
        <f>INDEX('Payment Total'!$A$7:$H$331,MATCH('Payment by Source'!$A107,'Payment Total'!$A$7:$A$331,0),6)-K107</f>
        <v>0</v>
      </c>
      <c r="O107" s="263">
        <f t="shared" si="8"/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2136914</v>
      </c>
      <c r="X107" s="136">
        <f t="shared" si="6"/>
        <v>213691</v>
      </c>
      <c r="Y107" s="136">
        <f t="shared" si="7"/>
        <v>2136910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8753</v>
      </c>
      <c r="D108" s="221">
        <f>IF(Notes!$B$2="June",ROUND('Budget by Source'!D108/10,0)+S108,ROUND('Budget by Source'!D108/10,0))</f>
        <v>53478</v>
      </c>
      <c r="E108" s="221">
        <f>IF(Notes!$B$2="June",ROUND('Budget by Source'!E108/10,0)+T108,ROUND('Budget by Source'!E108/10,0))</f>
        <v>4492</v>
      </c>
      <c r="F108" s="221">
        <f>IF(Notes!$B$2="June",ROUND('Budget by Source'!F108/10,0)+U108,ROUND('Budget by Source'!F108/10,0))</f>
        <v>4453</v>
      </c>
      <c r="G108" s="221">
        <f>IF(Notes!$B$2="June",ROUND('Budget by Source'!G108/10,0)+V108,ROUND('Budget by Source'!G108/10,0))</f>
        <v>20763</v>
      </c>
      <c r="H108" s="221">
        <f>INDEX('AEA Funding and Payments'!$A$8:$T$332,MATCH('Payment by Source'!$A108,'AEA Funding and Payments'!$A$8:$A$332,0),MATCH(H$5,'AEA Funding and Payments'!$A$4:$T$4,0))</f>
        <v>11308</v>
      </c>
      <c r="I108" s="221">
        <f>IF(Notes!$B$2="June",INDEX('AEA Funding and Payments'!$A$8:$AI$332,MATCH('Payment by Source'!$A108,'AEA Funding and Payments'!$A$8:$A$332,0),34),
ROUND(INDEX('AEA Funding and Payments'!$A$8:$T$332,MATCH('Payment by Source'!$A108,'AEA Funding and Payments'!$A$8:$A$332,0),MATCH(I$5,'AEA Funding and Payments'!$A$4:$T$4,0))/10,0))</f>
        <v>1988</v>
      </c>
      <c r="J108" s="221">
        <f t="shared" si="5"/>
        <v>325230</v>
      </c>
      <c r="K108" s="221">
        <f>INDEX(Data[],MATCH($A108,Data[Dist],0),MATCH(K$5,Data[#Headers],0))</f>
        <v>430465</v>
      </c>
      <c r="M108" s="59">
        <f>INDEX('Payment Total'!$A$7:$H$331,MATCH('Payment by Source'!$A108,'Payment Total'!$A$7:$A$331,0),6)-K108</f>
        <v>0</v>
      </c>
      <c r="O108" s="263">
        <f t="shared" si="8"/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3260316</v>
      </c>
      <c r="X108" s="136">
        <f t="shared" si="6"/>
        <v>326032</v>
      </c>
      <c r="Y108" s="136">
        <f t="shared" si="7"/>
        <v>3260320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23860</v>
      </c>
      <c r="D109" s="221">
        <f>IF(Notes!$B$2="June",ROUND('Budget by Source'!D109/10,0)+S109,ROUND('Budget by Source'!D109/10,0))</f>
        <v>66246</v>
      </c>
      <c r="E109" s="221">
        <f>IF(Notes!$B$2="June",ROUND('Budget by Source'!E109/10,0)+T109,ROUND('Budget by Source'!E109/10,0))</f>
        <v>5555</v>
      </c>
      <c r="F109" s="221">
        <f>IF(Notes!$B$2="June",ROUND('Budget by Source'!F109/10,0)+U109,ROUND('Budget by Source'!F109/10,0))</f>
        <v>5372</v>
      </c>
      <c r="G109" s="221">
        <f>IF(Notes!$B$2="June",ROUND('Budget by Source'!G109/10,0)+V109,ROUND('Budget by Source'!G109/10,0))</f>
        <v>25963</v>
      </c>
      <c r="H109" s="221">
        <f>INDEX('AEA Funding and Payments'!$A$8:$T$332,MATCH('Payment by Source'!$A109,'AEA Funding and Payments'!$A$8:$A$332,0),MATCH(H$5,'AEA Funding and Payments'!$A$4:$T$4,0))</f>
        <v>12975</v>
      </c>
      <c r="I109" s="221">
        <f>IF(Notes!$B$2="June",INDEX('AEA Funding and Payments'!$A$8:$AI$332,MATCH('Payment by Source'!$A109,'AEA Funding and Payments'!$A$8:$A$332,0),34),
ROUND(INDEX('AEA Funding and Payments'!$A$8:$T$332,MATCH('Payment by Source'!$A109,'AEA Funding and Payments'!$A$8:$A$332,0),MATCH(I$5,'AEA Funding and Payments'!$A$4:$T$4,0))/10,0))</f>
        <v>2238</v>
      </c>
      <c r="J109" s="221">
        <f t="shared" si="5"/>
        <v>277671</v>
      </c>
      <c r="K109" s="221">
        <f>INDEX(Data[],MATCH($A109,Data[Dist],0),MATCH(K$5,Data[#Headers],0))</f>
        <v>419880</v>
      </c>
      <c r="M109" s="59">
        <f>INDEX('Payment Total'!$A$7:$H$331,MATCH('Payment by Source'!$A109,'Payment Total'!$A$7:$A$331,0),6)-K109</f>
        <v>0</v>
      </c>
      <c r="O109" s="263">
        <f t="shared" si="8"/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2785847</v>
      </c>
      <c r="X109" s="136">
        <f t="shared" si="6"/>
        <v>278585</v>
      </c>
      <c r="Y109" s="136">
        <f t="shared" si="7"/>
        <v>2785850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7953</v>
      </c>
      <c r="D110" s="221">
        <f>IF(Notes!$B$2="June",ROUND('Budget by Source'!D110/10,0)+S110,ROUND('Budget by Source'!D110/10,0))</f>
        <v>54865</v>
      </c>
      <c r="E110" s="221">
        <f>IF(Notes!$B$2="June",ROUND('Budget by Source'!E110/10,0)+T110,ROUND('Budget by Source'!E110/10,0))</f>
        <v>3886</v>
      </c>
      <c r="F110" s="221">
        <f>IF(Notes!$B$2="June",ROUND('Budget by Source'!F110/10,0)+U110,ROUND('Budget by Source'!F110/10,0))</f>
        <v>3757</v>
      </c>
      <c r="G110" s="221">
        <f>IF(Notes!$B$2="June",ROUND('Budget by Source'!G110/10,0)+V110,ROUND('Budget by Source'!G110/10,0))</f>
        <v>17314</v>
      </c>
      <c r="H110" s="221">
        <f>INDEX('AEA Funding and Payments'!$A$8:$T$332,MATCH('Payment by Source'!$A110,'AEA Funding and Payments'!$A$8:$A$332,0),MATCH(H$5,'AEA Funding and Payments'!$A$4:$T$4,0))</f>
        <v>9230</v>
      </c>
      <c r="I110" s="221">
        <f>IF(Notes!$B$2="June",INDEX('AEA Funding and Payments'!$A$8:$AI$332,MATCH('Payment by Source'!$A110,'AEA Funding and Payments'!$A$8:$A$332,0),34),
ROUND(INDEX('AEA Funding and Payments'!$A$8:$T$332,MATCH('Payment by Source'!$A110,'AEA Funding and Payments'!$A$8:$A$332,0),MATCH(I$5,'AEA Funding and Payments'!$A$4:$T$4,0))/10,0))</f>
        <v>1464</v>
      </c>
      <c r="J110" s="221">
        <f t="shared" si="5"/>
        <v>242263</v>
      </c>
      <c r="K110" s="221">
        <f>INDEX(Data[],MATCH($A110,Data[Dist],0),MATCH(K$5,Data[#Headers],0))</f>
        <v>340732</v>
      </c>
      <c r="M110" s="59">
        <f>INDEX('Payment Total'!$A$7:$H$331,MATCH('Payment by Source'!$A110,'Payment Total'!$A$7:$A$331,0),6)-K110</f>
        <v>0</v>
      </c>
      <c r="O110" s="263">
        <f t="shared" si="8"/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2429337</v>
      </c>
      <c r="X110" s="136">
        <f t="shared" si="6"/>
        <v>242934</v>
      </c>
      <c r="Y110" s="136">
        <f t="shared" si="7"/>
        <v>2429340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3981</v>
      </c>
      <c r="D111" s="221">
        <f>IF(Notes!$B$2="June",ROUND('Budget by Source'!D111/10,0)+S111,ROUND('Budget by Source'!D111/10,0))</f>
        <v>32275</v>
      </c>
      <c r="E111" s="221">
        <f>IF(Notes!$B$2="June",ROUND('Budget by Source'!E111/10,0)+T111,ROUND('Budget by Source'!E111/10,0))</f>
        <v>1874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6690</v>
      </c>
      <c r="H111" s="221">
        <f>INDEX('AEA Funding and Payments'!$A$8:$T$332,MATCH('Payment by Source'!$A111,'AEA Funding and Payments'!$A$8:$A$332,0),MATCH(H$5,'AEA Funding and Payments'!$A$4:$T$4,0))</f>
        <v>3378</v>
      </c>
      <c r="I111" s="221">
        <f>IF(Notes!$B$2="June",INDEX('AEA Funding and Payments'!$A$8:$AI$332,MATCH('Payment by Source'!$A111,'AEA Funding and Payments'!$A$8:$A$332,0),34),
ROUND(INDEX('AEA Funding and Payments'!$A$8:$T$332,MATCH('Payment by Source'!$A111,'AEA Funding and Payments'!$A$8:$A$332,0),MATCH(I$5,'AEA Funding and Payments'!$A$4:$T$4,0))/10,0))</f>
        <v>626</v>
      </c>
      <c r="J111" s="221">
        <f t="shared" si="5"/>
        <v>90643</v>
      </c>
      <c r="K111" s="221">
        <f>INDEX(Data[],MATCH($A111,Data[Dist],0),MATCH(K$5,Data[#Headers],0))</f>
        <v>140788</v>
      </c>
      <c r="M111" s="59">
        <f>INDEX('Payment Total'!$A$7:$H$331,MATCH('Payment by Source'!$A111,'Payment Total'!$A$7:$A$331,0),6)-K111</f>
        <v>0</v>
      </c>
      <c r="O111" s="263">
        <f t="shared" si="8"/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908942</v>
      </c>
      <c r="X111" s="136">
        <f t="shared" si="6"/>
        <v>90894</v>
      </c>
      <c r="Y111" s="136">
        <f t="shared" si="7"/>
        <v>908940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26646</v>
      </c>
      <c r="D112" s="221">
        <f>IF(Notes!$B$2="June",ROUND('Budget by Source'!D112/10,0)+S112,ROUND('Budget by Source'!D112/10,0))</f>
        <v>116128</v>
      </c>
      <c r="E112" s="221">
        <f>IF(Notes!$B$2="June",ROUND('Budget by Source'!E112/10,0)+T112,ROUND('Budget by Source'!E112/10,0))</f>
        <v>10049</v>
      </c>
      <c r="F112" s="221">
        <f>IF(Notes!$B$2="June",ROUND('Budget by Source'!F112/10,0)+U112,ROUND('Budget by Source'!F112/10,0))</f>
        <v>8902</v>
      </c>
      <c r="G112" s="221">
        <f>IF(Notes!$B$2="June",ROUND('Budget by Source'!G112/10,0)+V112,ROUND('Budget by Source'!G112/10,0))</f>
        <v>44217</v>
      </c>
      <c r="H112" s="221">
        <f>INDEX('AEA Funding and Payments'!$A$8:$T$332,MATCH('Payment by Source'!$A112,'AEA Funding and Payments'!$A$8:$A$332,0),MATCH(H$5,'AEA Funding and Payments'!$A$4:$T$4,0))</f>
        <v>24018</v>
      </c>
      <c r="I112" s="221">
        <f>IF(Notes!$B$2="June",INDEX('AEA Funding and Payments'!$A$8:$AI$332,MATCH('Payment by Source'!$A112,'AEA Funding and Payments'!$A$8:$A$332,0),34),
ROUND(INDEX('AEA Funding and Payments'!$A$8:$T$332,MATCH('Payment by Source'!$A112,'AEA Funding and Payments'!$A$8:$A$332,0),MATCH(I$5,'AEA Funding and Payments'!$A$4:$T$4,0))/10,0))</f>
        <v>3910</v>
      </c>
      <c r="J112" s="221">
        <f t="shared" si="5"/>
        <v>743485</v>
      </c>
      <c r="K112" s="221">
        <f>INDEX(Data[],MATCH($A112,Data[Dist],0),MATCH(K$5,Data[#Headers],0))</f>
        <v>977355</v>
      </c>
      <c r="M112" s="59">
        <f>INDEX('Payment Total'!$A$7:$H$331,MATCH('Payment by Source'!$A112,'Payment Total'!$A$7:$A$331,0),6)-K112</f>
        <v>0</v>
      </c>
      <c r="O112" s="263">
        <f t="shared" si="8"/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7452312</v>
      </c>
      <c r="X112" s="136">
        <f t="shared" si="6"/>
        <v>745231</v>
      </c>
      <c r="Y112" s="136">
        <f t="shared" si="7"/>
        <v>7452310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9939</v>
      </c>
      <c r="D113" s="221">
        <f>IF(Notes!$B$2="June",ROUND('Budget by Source'!D113/10,0)+S113,ROUND('Budget by Source'!D113/10,0))</f>
        <v>62456</v>
      </c>
      <c r="E113" s="221">
        <f>IF(Notes!$B$2="June",ROUND('Budget by Source'!E113/10,0)+T113,ROUND('Budget by Source'!E113/10,0))</f>
        <v>3400</v>
      </c>
      <c r="F113" s="221">
        <f>IF(Notes!$B$2="June",ROUND('Budget by Source'!F113/10,0)+U113,ROUND('Budget by Source'!F113/10,0))</f>
        <v>3475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9064</v>
      </c>
      <c r="I113" s="221">
        <f>IF(Notes!$B$2="June",INDEX('AEA Funding and Payments'!$A$8:$AI$332,MATCH('Payment by Source'!$A113,'AEA Funding and Payments'!$A$8:$A$332,0),34),
ROUND(INDEX('AEA Funding and Payments'!$A$8:$T$332,MATCH('Payment by Source'!$A113,'AEA Funding and Payments'!$A$8:$A$332,0),MATCH(I$5,'AEA Funding and Payments'!$A$4:$T$4,0))/10,0))</f>
        <v>1354</v>
      </c>
      <c r="J113" s="221">
        <f t="shared" si="5"/>
        <v>208026</v>
      </c>
      <c r="K113" s="221">
        <f>INDEX(Data[],MATCH($A113,Data[Dist],0),MATCH(K$5,Data[#Headers],0))</f>
        <v>314031</v>
      </c>
      <c r="M113" s="59">
        <f>INDEX('Payment Total'!$A$7:$H$331,MATCH('Payment by Source'!$A113,'Payment Total'!$A$7:$A$331,0),6)-K113</f>
        <v>0</v>
      </c>
      <c r="O113" s="263">
        <f t="shared" si="8"/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2086673</v>
      </c>
      <c r="X113" s="136">
        <f t="shared" si="6"/>
        <v>208667</v>
      </c>
      <c r="Y113" s="136">
        <f t="shared" si="7"/>
        <v>2086670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19088</v>
      </c>
      <c r="D114" s="221">
        <f>IF(Notes!$B$2="June",ROUND('Budget by Source'!D114/10,0)+S114,ROUND('Budget by Source'!D114/10,0))</f>
        <v>184394</v>
      </c>
      <c r="E114" s="221">
        <f>IF(Notes!$B$2="June",ROUND('Budget by Source'!E114/10,0)+T114,ROUND('Budget by Source'!E114/10,0))</f>
        <v>13056</v>
      </c>
      <c r="F114" s="221">
        <f>IF(Notes!$B$2="June",ROUND('Budget by Source'!F114/10,0)+U114,ROUND('Budget by Source'!F114/10,0))</f>
        <v>11902</v>
      </c>
      <c r="G114" s="221">
        <f>IF(Notes!$B$2="June",ROUND('Budget by Source'!G114/10,0)+V114,ROUND('Budget by Source'!G114/10,0))</f>
        <v>61754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IF(Notes!$B$2="June",INDEX('AEA Funding and Payments'!$A$8:$AI$332,MATCH('Payment by Source'!$A114,'AEA Funding and Payments'!$A$8:$A$332,0),34),
ROUND(INDEX('AEA Funding and Payments'!$A$8:$T$332,MATCH('Payment by Source'!$A114,'AEA Funding and Payments'!$A$8:$A$332,0),MATCH(I$5,'AEA Funding and Payments'!$A$4:$T$4,0))/10,0))</f>
        <v>5054</v>
      </c>
      <c r="J114" s="221">
        <f t="shared" si="5"/>
        <v>739724</v>
      </c>
      <c r="K114" s="221">
        <f>INDEX(Data[],MATCH($A114,Data[Dist],0),MATCH(K$5,Data[#Headers],0))</f>
        <v>1066959</v>
      </c>
      <c r="M114" s="59">
        <f>INDEX('Payment Total'!$A$7:$H$331,MATCH('Payment by Source'!$A114,'Payment Total'!$A$7:$A$331,0),6)-K114</f>
        <v>0</v>
      </c>
      <c r="O114" s="263">
        <f t="shared" si="8"/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7419741</v>
      </c>
      <c r="X114" s="136">
        <f t="shared" si="6"/>
        <v>741974</v>
      </c>
      <c r="Y114" s="136">
        <f t="shared" si="7"/>
        <v>7419740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25855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8644</v>
      </c>
      <c r="F115" s="221">
        <f>IF(Notes!$B$2="June",ROUND('Budget by Source'!F115/10,0)+U115,ROUND('Budget by Source'!F115/10,0))</f>
        <v>8803</v>
      </c>
      <c r="G115" s="221">
        <f>IF(Notes!$B$2="June",ROUND('Budget by Source'!G115/10,0)+V115,ROUND('Budget by Source'!G115/10,0))</f>
        <v>40629</v>
      </c>
      <c r="H115" s="221">
        <f>INDEX('AEA Funding and Payments'!$A$8:$T$332,MATCH('Payment by Source'!$A115,'AEA Funding and Payments'!$A$8:$A$332,0),MATCH(H$5,'AEA Funding and Payments'!$A$4:$T$4,0))</f>
        <v>22222</v>
      </c>
      <c r="I115" s="221">
        <f>IF(Notes!$B$2="June",INDEX('AEA Funding and Payments'!$A$8:$AI$332,MATCH('Payment by Source'!$A115,'AEA Funding and Payments'!$A$8:$A$332,0),34),
ROUND(INDEX('AEA Funding and Payments'!$A$8:$T$332,MATCH('Payment by Source'!$A115,'AEA Funding and Payments'!$A$8:$A$332,0),MATCH(I$5,'AEA Funding and Payments'!$A$4:$T$4,0))/10,0))</f>
        <v>3535</v>
      </c>
      <c r="J115" s="221">
        <f t="shared" si="5"/>
        <v>606731</v>
      </c>
      <c r="K115" s="221">
        <f>INDEX(Data[],MATCH($A115,Data[Dist],0),MATCH(K$5,Data[#Headers],0))</f>
        <v>823840</v>
      </c>
      <c r="M115" s="59">
        <f>INDEX('Payment Total'!$A$7:$H$331,MATCH('Payment by Source'!$A115,'Payment Total'!$A$7:$A$331,0),6)-K115</f>
        <v>0</v>
      </c>
      <c r="O115" s="263">
        <f t="shared" si="8"/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6082877</v>
      </c>
      <c r="X115" s="136">
        <f t="shared" si="6"/>
        <v>608288</v>
      </c>
      <c r="Y115" s="136">
        <f t="shared" si="7"/>
        <v>6082880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94285</v>
      </c>
      <c r="D116" s="221">
        <f>IF(Notes!$B$2="June",ROUND('Budget by Source'!D116/10,0)+S116,ROUND('Budget by Source'!D116/10,0))</f>
        <v>333316</v>
      </c>
      <c r="E116" s="221">
        <f>IF(Notes!$B$2="June",ROUND('Budget by Source'!E116/10,0)+T116,ROUND('Budget by Source'!E116/10,0))</f>
        <v>35968</v>
      </c>
      <c r="F116" s="221">
        <f>IF(Notes!$B$2="June",ROUND('Budget by Source'!F116/10,0)+U116,ROUND('Budget by Source'!F116/10,0))</f>
        <v>31894</v>
      </c>
      <c r="G116" s="221">
        <f>IF(Notes!$B$2="June",ROUND('Budget by Source'!G116/10,0)+V116,ROUND('Budget by Source'!G116/10,0))</f>
        <v>152261</v>
      </c>
      <c r="H116" s="221">
        <f>INDEX('AEA Funding and Payments'!$A$8:$T$332,MATCH('Payment by Source'!$A116,'AEA Funding and Payments'!$A$8:$A$332,0),MATCH(H$5,'AEA Funding and Payments'!$A$4:$T$4,0))</f>
        <v>72687</v>
      </c>
      <c r="I116" s="221">
        <f>IF(Notes!$B$2="June",INDEX('AEA Funding and Payments'!$A$8:$AI$332,MATCH('Payment by Source'!$A116,'AEA Funding and Payments'!$A$8:$A$332,0),34),
ROUND(INDEX('AEA Funding and Payments'!$A$8:$T$332,MATCH('Payment by Source'!$A116,'AEA Funding and Payments'!$A$8:$A$332,0),MATCH(I$5,'AEA Funding and Payments'!$A$4:$T$4,0))/10,0))</f>
        <v>12038</v>
      </c>
      <c r="J116" s="221">
        <f t="shared" si="5"/>
        <v>2293159</v>
      </c>
      <c r="K116" s="221">
        <f>INDEX(Data[],MATCH($A116,Data[Dist],0),MATCH(K$5,Data[#Headers],0))</f>
        <v>3025608</v>
      </c>
      <c r="M116" s="59">
        <f>INDEX('Payment Total'!$A$7:$H$331,MATCH('Payment by Source'!$A116,'Payment Total'!$A$7:$A$331,0),6)-K116</f>
        <v>0</v>
      </c>
      <c r="O116" s="263">
        <f t="shared" si="8"/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22983599</v>
      </c>
      <c r="X116" s="136">
        <f t="shared" si="6"/>
        <v>2298360</v>
      </c>
      <c r="Y116" s="136">
        <f t="shared" si="7"/>
        <v>22983600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23464</v>
      </c>
      <c r="D117" s="221">
        <f>IF(Notes!$B$2="June",ROUND('Budget by Source'!D117/10,0)+S117,ROUND('Budget by Source'!D117/10,0))</f>
        <v>173136</v>
      </c>
      <c r="E117" s="221">
        <f>IF(Notes!$B$2="June",ROUND('Budget by Source'!E117/10,0)+T117,ROUND('Budget by Source'!E117/10,0))</f>
        <v>18940</v>
      </c>
      <c r="F117" s="221">
        <f>IF(Notes!$B$2="June",ROUND('Budget by Source'!F117/10,0)+U117,ROUND('Budget by Source'!F117/10,0))</f>
        <v>17040</v>
      </c>
      <c r="G117" s="221">
        <f>IF(Notes!$B$2="June",ROUND('Budget by Source'!G117/10,0)+V117,ROUND('Budget by Source'!G117/10,0))</f>
        <v>88868</v>
      </c>
      <c r="H117" s="221">
        <f>INDEX('AEA Funding and Payments'!$A$8:$T$332,MATCH('Payment by Source'!$A117,'AEA Funding and Payments'!$A$8:$A$332,0),MATCH(H$5,'AEA Funding and Payments'!$A$4:$T$4,0))</f>
        <v>45559</v>
      </c>
      <c r="I117" s="221">
        <f>IF(Notes!$B$2="June",INDEX('AEA Funding and Payments'!$A$8:$AI$332,MATCH('Payment by Source'!$A117,'AEA Funding and Payments'!$A$8:$A$332,0),34),
ROUND(INDEX('AEA Funding and Payments'!$A$8:$T$332,MATCH('Payment by Source'!$A117,'AEA Funding and Payments'!$A$8:$A$332,0),MATCH(I$5,'AEA Funding and Payments'!$A$4:$T$4,0))/10,0))</f>
        <v>6959</v>
      </c>
      <c r="J117" s="221">
        <f t="shared" si="5"/>
        <v>1323545</v>
      </c>
      <c r="K117" s="221">
        <f>INDEX(Data[],MATCH($A117,Data[Dist],0),MATCH(K$5,Data[#Headers],0))</f>
        <v>1697511</v>
      </c>
      <c r="M117" s="59">
        <f>INDEX('Payment Total'!$A$7:$H$331,MATCH('Payment by Source'!$A117,'Payment Total'!$A$7:$A$331,0),6)-K117</f>
        <v>0</v>
      </c>
      <c r="O117" s="263">
        <f t="shared" si="8"/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13267026</v>
      </c>
      <c r="X117" s="136">
        <f t="shared" si="6"/>
        <v>1326703</v>
      </c>
      <c r="Y117" s="136">
        <f t="shared" si="7"/>
        <v>13267030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11934</v>
      </c>
      <c r="D118" s="221">
        <f>IF(Notes!$B$2="June",ROUND('Budget by Source'!D118/10,0)+S118,ROUND('Budget by Source'!D118/10,0))</f>
        <v>51139</v>
      </c>
      <c r="E118" s="221">
        <f>IF(Notes!$B$2="June",ROUND('Budget by Source'!E118/10,0)+T118,ROUND('Budget by Source'!E118/10,0))</f>
        <v>3886</v>
      </c>
      <c r="F118" s="221">
        <f>IF(Notes!$B$2="June",ROUND('Budget by Source'!F118/10,0)+U118,ROUND('Budget by Source'!F118/10,0))</f>
        <v>3023</v>
      </c>
      <c r="G118" s="221">
        <f>IF(Notes!$B$2="June",ROUND('Budget by Source'!G118/10,0)+V118,ROUND('Budget by Source'!G118/10,0))</f>
        <v>17071</v>
      </c>
      <c r="H118" s="221">
        <f>INDEX('AEA Funding and Payments'!$A$8:$T$332,MATCH('Payment by Source'!$A118,'AEA Funding and Payments'!$A$8:$A$332,0),MATCH(H$5,'AEA Funding and Payments'!$A$4:$T$4,0))</f>
        <v>9532</v>
      </c>
      <c r="I118" s="221">
        <f>IF(Notes!$B$2="June",INDEX('AEA Funding and Payments'!$A$8:$AI$332,MATCH('Payment by Source'!$A118,'AEA Funding and Payments'!$A$8:$A$332,0),34),
ROUND(INDEX('AEA Funding and Payments'!$A$8:$T$332,MATCH('Payment by Source'!$A118,'AEA Funding and Payments'!$A$8:$A$332,0),MATCH(I$5,'AEA Funding and Payments'!$A$4:$T$4,0))/10,0))</f>
        <v>1470</v>
      </c>
      <c r="J118" s="221">
        <f t="shared" si="5"/>
        <v>255248</v>
      </c>
      <c r="K118" s="221">
        <f>INDEX(Data[],MATCH($A118,Data[Dist],0),MATCH(K$5,Data[#Headers],0))</f>
        <v>353303</v>
      </c>
      <c r="M118" s="59">
        <f>INDEX('Payment Total'!$A$7:$H$331,MATCH('Payment by Source'!$A118,'Payment Total'!$A$7:$A$331,0),6)-K118</f>
        <v>0</v>
      </c>
      <c r="O118" s="263">
        <f t="shared" si="8"/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2559234</v>
      </c>
      <c r="X118" s="136">
        <f t="shared" si="6"/>
        <v>255923</v>
      </c>
      <c r="Y118" s="136">
        <f t="shared" si="7"/>
        <v>2559230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7953</v>
      </c>
      <c r="D119" s="221">
        <f>IF(Notes!$B$2="June",ROUND('Budget by Source'!D119/10,0)+S119,ROUND('Budget by Source'!D119/10,0))</f>
        <v>55468</v>
      </c>
      <c r="E119" s="221">
        <f>IF(Notes!$B$2="June",ROUND('Budget by Source'!E119/10,0)+T119,ROUND('Budget by Source'!E119/10,0))</f>
        <v>3808</v>
      </c>
      <c r="F119" s="221">
        <f>IF(Notes!$B$2="June",ROUND('Budget by Source'!F119/10,0)+U119,ROUND('Budget by Source'!F119/10,0))</f>
        <v>3629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9631</v>
      </c>
      <c r="I119" s="221">
        <f>IF(Notes!$B$2="June",INDEX('AEA Funding and Payments'!$A$8:$AI$332,MATCH('Payment by Source'!$A119,'AEA Funding and Payments'!$A$8:$A$332,0),34),
ROUND(INDEX('AEA Funding and Payments'!$A$8:$T$332,MATCH('Payment by Source'!$A119,'AEA Funding and Payments'!$A$8:$A$332,0),MATCH(I$5,'AEA Funding and Payments'!$A$4:$T$4,0))/10,0))</f>
        <v>1529</v>
      </c>
      <c r="J119" s="221">
        <f t="shared" si="5"/>
        <v>218977</v>
      </c>
      <c r="K119" s="221">
        <f>INDEX(Data[],MATCH($A119,Data[Dist],0),MATCH(K$5,Data[#Headers],0))</f>
        <v>319119</v>
      </c>
      <c r="M119" s="59">
        <f>INDEX('Payment Total'!$A$7:$H$331,MATCH('Payment by Source'!$A119,'Payment Total'!$A$7:$A$331,0),6)-K119</f>
        <v>0</v>
      </c>
      <c r="O119" s="263">
        <f t="shared" si="8"/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2196913</v>
      </c>
      <c r="X119" s="136">
        <f t="shared" si="6"/>
        <v>219691</v>
      </c>
      <c r="Y119" s="136">
        <f t="shared" si="7"/>
        <v>2196910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31822</v>
      </c>
      <c r="D120" s="221">
        <f>IF(Notes!$B$2="June",ROUND('Budget by Source'!D120/10,0)+S120,ROUND('Budget by Source'!D120/10,0))</f>
        <v>96618</v>
      </c>
      <c r="E120" s="221">
        <f>IF(Notes!$B$2="June",ROUND('Budget by Source'!E120/10,0)+T120,ROUND('Budget by Source'!E120/10,0))</f>
        <v>7183</v>
      </c>
      <c r="F120" s="221">
        <f>IF(Notes!$B$2="June",ROUND('Budget by Source'!F120/10,0)+U120,ROUND('Budget by Source'!F120/10,0))</f>
        <v>6881</v>
      </c>
      <c r="G120" s="221">
        <f>IF(Notes!$B$2="June",ROUND('Budget by Source'!G120/10,0)+V120,ROUND('Budget by Source'!G120/10,0))</f>
        <v>33073</v>
      </c>
      <c r="H120" s="221">
        <f>INDEX('AEA Funding and Payments'!$A$8:$T$332,MATCH('Payment by Source'!$A120,'AEA Funding and Payments'!$A$8:$A$332,0),MATCH(H$5,'AEA Funding and Payments'!$A$4:$T$4,0))</f>
        <v>17115</v>
      </c>
      <c r="I120" s="221">
        <f>IF(Notes!$B$2="June",INDEX('AEA Funding and Payments'!$A$8:$AI$332,MATCH('Payment by Source'!$A120,'AEA Funding and Payments'!$A$8:$A$332,0),34),
ROUND(INDEX('AEA Funding and Payments'!$A$8:$T$332,MATCH('Payment by Source'!$A120,'AEA Funding and Payments'!$A$8:$A$332,0),MATCH(I$5,'AEA Funding and Payments'!$A$4:$T$4,0))/10,0))</f>
        <v>2821</v>
      </c>
      <c r="J120" s="221">
        <f t="shared" si="5"/>
        <v>312812</v>
      </c>
      <c r="K120" s="221">
        <f>INDEX(Data[],MATCH($A120,Data[Dist],0),MATCH(K$5,Data[#Headers],0))</f>
        <v>508325</v>
      </c>
      <c r="M120" s="59">
        <f>INDEX('Payment Total'!$A$7:$H$331,MATCH('Payment by Source'!$A120,'Payment Total'!$A$7:$A$331,0),6)-K120</f>
        <v>0</v>
      </c>
      <c r="O120" s="263">
        <f t="shared" si="8"/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3140787</v>
      </c>
      <c r="X120" s="136">
        <f t="shared" si="6"/>
        <v>314079</v>
      </c>
      <c r="Y120" s="136">
        <f t="shared" si="7"/>
        <v>3140790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11530</v>
      </c>
      <c r="D121" s="221">
        <f>IF(Notes!$B$2="June",ROUND('Budget by Source'!D121/10,0)+S121,ROUND('Budget by Source'!D121/10,0))</f>
        <v>57192</v>
      </c>
      <c r="E121" s="221">
        <f>IF(Notes!$B$2="June",ROUND('Budget by Source'!E121/10,0)+T121,ROUND('Budget by Source'!E121/10,0))</f>
        <v>3717</v>
      </c>
      <c r="F121" s="221">
        <f>IF(Notes!$B$2="June",ROUND('Budget by Source'!F121/10,0)+U121,ROUND('Budget by Source'!F121/10,0))</f>
        <v>3622</v>
      </c>
      <c r="G121" s="221">
        <f>IF(Notes!$B$2="June",ROUND('Budget by Source'!G121/10,0)+V121,ROUND('Budget by Source'!G121/10,0))</f>
        <v>17636</v>
      </c>
      <c r="H121" s="221">
        <f>INDEX('AEA Funding and Payments'!$A$8:$T$332,MATCH('Payment by Source'!$A121,'AEA Funding and Payments'!$A$8:$A$332,0),MATCH(H$5,'AEA Funding and Payments'!$A$4:$T$4,0))</f>
        <v>8771</v>
      </c>
      <c r="I121" s="221">
        <f>IF(Notes!$B$2="June",INDEX('AEA Funding and Payments'!$A$8:$AI$332,MATCH('Payment by Source'!$A121,'AEA Funding and Payments'!$A$8:$A$332,0),34),
ROUND(INDEX('AEA Funding and Payments'!$A$8:$T$332,MATCH('Payment by Source'!$A121,'AEA Funding and Payments'!$A$8:$A$332,0),MATCH(I$5,'AEA Funding and Payments'!$A$4:$T$4,0))/10,0))</f>
        <v>1490</v>
      </c>
      <c r="J121" s="221">
        <f t="shared" si="5"/>
        <v>188755</v>
      </c>
      <c r="K121" s="221">
        <f>INDEX(Data[],MATCH($A121,Data[Dist],0),MATCH(K$5,Data[#Headers],0))</f>
        <v>292713</v>
      </c>
      <c r="M121" s="59">
        <f>INDEX('Payment Total'!$A$7:$H$331,MATCH('Payment by Source'!$A121,'Payment Total'!$A$7:$A$331,0),6)-K121</f>
        <v>0</v>
      </c>
      <c r="O121" s="263">
        <f t="shared" si="8"/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1893672</v>
      </c>
      <c r="X121" s="136">
        <f t="shared" si="6"/>
        <v>189367</v>
      </c>
      <c r="Y121" s="136">
        <f t="shared" si="7"/>
        <v>1893670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27050</v>
      </c>
      <c r="D122" s="221">
        <f>IF(Notes!$B$2="June",ROUND('Budget by Source'!D122/10,0)+S122,ROUND('Budget by Source'!D122/10,0))</f>
        <v>122079</v>
      </c>
      <c r="E122" s="221">
        <f>IF(Notes!$B$2="June",ROUND('Budget by Source'!E122/10,0)+T122,ROUND('Budget by Source'!E122/10,0))</f>
        <v>10642</v>
      </c>
      <c r="F122" s="221">
        <f>IF(Notes!$B$2="June",ROUND('Budget by Source'!F122/10,0)+U122,ROUND('Budget by Source'!F122/10,0))</f>
        <v>11749</v>
      </c>
      <c r="G122" s="221">
        <f>IF(Notes!$B$2="June",ROUND('Budget by Source'!G122/10,0)+V122,ROUND('Budget by Source'!G122/10,0))</f>
        <v>62240</v>
      </c>
      <c r="H122" s="221">
        <f>INDEX('AEA Funding and Payments'!$A$8:$T$332,MATCH('Payment by Source'!$A122,'AEA Funding and Payments'!$A$8:$A$332,0),MATCH(H$5,'AEA Funding and Payments'!$A$4:$T$4,0))</f>
        <v>32243</v>
      </c>
      <c r="I122" s="221">
        <f>IF(Notes!$B$2="June",INDEX('AEA Funding and Payments'!$A$8:$AI$332,MATCH('Payment by Source'!$A122,'AEA Funding and Payments'!$A$8:$A$332,0),34),
ROUND(INDEX('AEA Funding and Payments'!$A$8:$T$332,MATCH('Payment by Source'!$A122,'AEA Funding and Payments'!$A$8:$A$332,0),MATCH(I$5,'AEA Funding and Payments'!$A$4:$T$4,0))/10,0))</f>
        <v>4821</v>
      </c>
      <c r="J122" s="221">
        <f t="shared" si="5"/>
        <v>849592</v>
      </c>
      <c r="K122" s="221">
        <f>INDEX(Data[],MATCH($A122,Data[Dist],0),MATCH(K$5,Data[#Headers],0))</f>
        <v>1120416</v>
      </c>
      <c r="M122" s="59">
        <f>INDEX('Payment Total'!$A$7:$H$331,MATCH('Payment by Source'!$A122,'Payment Total'!$A$7:$A$331,0),6)-K122</f>
        <v>0</v>
      </c>
      <c r="O122" s="263">
        <f t="shared" si="8"/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8520091</v>
      </c>
      <c r="X122" s="136">
        <f t="shared" si="6"/>
        <v>852009</v>
      </c>
      <c r="Y122" s="136">
        <f t="shared" si="7"/>
        <v>8520090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5969</v>
      </c>
      <c r="D123" s="221">
        <f>IF(Notes!$B$2="June",ROUND('Budget by Source'!D123/10,0)+S123,ROUND('Budget by Source'!D123/10,0))</f>
        <v>20485</v>
      </c>
      <c r="E123" s="221">
        <f>IF(Notes!$B$2="June",ROUND('Budget by Source'!E123/10,0)+T123,ROUND('Budget by Source'!E123/10,0))</f>
        <v>1064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3343</v>
      </c>
      <c r="I123" s="221">
        <f>IF(Notes!$B$2="June",INDEX('AEA Funding and Payments'!$A$8:$AI$332,MATCH('Payment by Source'!$A123,'AEA Funding and Payments'!$A$8:$A$332,0),34),
ROUND(INDEX('AEA Funding and Payments'!$A$8:$T$332,MATCH('Payment by Source'!$A123,'AEA Funding and Payments'!$A$8:$A$332,0),MATCH(I$5,'AEA Funding and Payments'!$A$4:$T$4,0))/10,0))</f>
        <v>625</v>
      </c>
      <c r="J123" s="221">
        <f t="shared" si="5"/>
        <v>76246</v>
      </c>
      <c r="K123" s="221">
        <f>INDEX(Data[],MATCH($A123,Data[Dist],0),MATCH(K$5,Data[#Headers],0))</f>
        <v>115382</v>
      </c>
      <c r="M123" s="59">
        <f>INDEX('Payment Total'!$A$7:$H$331,MATCH('Payment by Source'!$A123,'Payment Total'!$A$7:$A$331,0),6)-K123</f>
        <v>0</v>
      </c>
      <c r="O123" s="263">
        <f t="shared" si="8"/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764846</v>
      </c>
      <c r="X123" s="136">
        <f t="shared" si="6"/>
        <v>76485</v>
      </c>
      <c r="Y123" s="136">
        <f t="shared" si="7"/>
        <v>764850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14720</v>
      </c>
      <c r="D124" s="221">
        <f>IF(Notes!$B$2="June",ROUND('Budget by Source'!D124/10,0)+S124,ROUND('Budget by Source'!D124/10,0))</f>
        <v>73855</v>
      </c>
      <c r="E124" s="221">
        <f>IF(Notes!$B$2="June",ROUND('Budget by Source'!E124/10,0)+T124,ROUND('Budget by Source'!E124/10,0))</f>
        <v>4232</v>
      </c>
      <c r="F124" s="221">
        <f>IF(Notes!$B$2="June",ROUND('Budget by Source'!F124/10,0)+U124,ROUND('Budget by Source'!F124/10,0))</f>
        <v>4754</v>
      </c>
      <c r="G124" s="221">
        <f>IF(Notes!$B$2="June",ROUND('Budget by Source'!G124/10,0)+V124,ROUND('Budget by Source'!G124/10,0))</f>
        <v>23866</v>
      </c>
      <c r="H124" s="221">
        <f>INDEX('AEA Funding and Payments'!$A$8:$T$332,MATCH('Payment by Source'!$A124,'AEA Funding and Payments'!$A$8:$A$332,0),MATCH(H$5,'AEA Funding and Payments'!$A$4:$T$4,0))</f>
        <v>13168</v>
      </c>
      <c r="I124" s="221">
        <f>IF(Notes!$B$2="June",INDEX('AEA Funding and Payments'!$A$8:$AI$332,MATCH('Payment by Source'!$A124,'AEA Funding and Payments'!$A$8:$A$332,0),34),
ROUND(INDEX('AEA Funding and Payments'!$A$8:$T$332,MATCH('Payment by Source'!$A124,'AEA Funding and Payments'!$A$8:$A$332,0),MATCH(I$5,'AEA Funding and Payments'!$A$4:$T$4,0))/10,0))</f>
        <v>2058</v>
      </c>
      <c r="J124" s="221">
        <f t="shared" si="5"/>
        <v>324208</v>
      </c>
      <c r="K124" s="221">
        <f>INDEX(Data[],MATCH($A124,Data[Dist],0),MATCH(K$5,Data[#Headers],0))</f>
        <v>460861</v>
      </c>
      <c r="M124" s="59">
        <f>INDEX('Payment Total'!$A$7:$H$331,MATCH('Payment by Source'!$A124,'Payment Total'!$A$7:$A$331,0),6)-K124</f>
        <v>0</v>
      </c>
      <c r="O124" s="263">
        <f t="shared" si="8"/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3251427</v>
      </c>
      <c r="X124" s="136">
        <f t="shared" si="6"/>
        <v>325143</v>
      </c>
      <c r="Y124" s="136">
        <f t="shared" si="7"/>
        <v>3251430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29432</v>
      </c>
      <c r="D125" s="221">
        <f>IF(Notes!$B$2="June",ROUND('Budget by Source'!D125/10,0)+S125,ROUND('Budget by Source'!D125/10,0))</f>
        <v>155115</v>
      </c>
      <c r="E125" s="221">
        <f>IF(Notes!$B$2="June",ROUND('Budget by Source'!E125/10,0)+T125,ROUND('Budget by Source'!E125/10,0))</f>
        <v>15525</v>
      </c>
      <c r="F125" s="221">
        <f>IF(Notes!$B$2="June",ROUND('Budget by Source'!F125/10,0)+U125,ROUND('Budget by Source'!F125/10,0))</f>
        <v>13668</v>
      </c>
      <c r="G125" s="221">
        <f>IF(Notes!$B$2="June",ROUND('Budget by Source'!G125/10,0)+V125,ROUND('Budget by Source'!G125/10,0))</f>
        <v>73304</v>
      </c>
      <c r="H125" s="221">
        <f>INDEX('AEA Funding and Payments'!$A$8:$T$332,MATCH('Payment by Source'!$A125,'AEA Funding and Payments'!$A$8:$A$332,0),MATCH(H$5,'AEA Funding and Payments'!$A$4:$T$4,0))</f>
        <v>39257</v>
      </c>
      <c r="I125" s="221">
        <f>IF(Notes!$B$2="June",INDEX('AEA Funding and Payments'!$A$8:$AI$332,MATCH('Payment by Source'!$A125,'AEA Funding and Payments'!$A$8:$A$332,0),34),
ROUND(INDEX('AEA Funding and Payments'!$A$8:$T$332,MATCH('Payment by Source'!$A125,'AEA Funding and Payments'!$A$8:$A$332,0),MATCH(I$5,'AEA Funding and Payments'!$A$4:$T$4,0))/10,0))</f>
        <v>6112</v>
      </c>
      <c r="J125" s="221">
        <f t="shared" si="5"/>
        <v>1093265</v>
      </c>
      <c r="K125" s="221">
        <f>INDEX(Data[],MATCH($A125,Data[Dist],0),MATCH(K$5,Data[#Headers],0))</f>
        <v>1425678</v>
      </c>
      <c r="M125" s="59">
        <f>INDEX('Payment Total'!$A$7:$H$331,MATCH('Payment by Source'!$A125,'Payment Total'!$A$7:$A$331,0),6)-K125</f>
        <v>0</v>
      </c>
      <c r="O125" s="263">
        <f t="shared" si="8"/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10960932</v>
      </c>
      <c r="X125" s="136">
        <f t="shared" si="6"/>
        <v>1096093</v>
      </c>
      <c r="Y125" s="136">
        <f t="shared" si="7"/>
        <v>10960930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9939</v>
      </c>
      <c r="D126" s="221">
        <f>IF(Notes!$B$2="June",ROUND('Budget by Source'!D126/10,0)+S126,ROUND('Budget by Source'!D126/10,0))</f>
        <v>44870</v>
      </c>
      <c r="E126" s="221">
        <f>IF(Notes!$B$2="June",ROUND('Budget by Source'!E126/10,0)+T126,ROUND('Budget by Source'!E126/10,0))</f>
        <v>2688</v>
      </c>
      <c r="F126" s="221">
        <f>IF(Notes!$B$2="June",ROUND('Budget by Source'!F126/10,0)+U126,ROUND('Budget by Source'!F126/10,0))</f>
        <v>2601</v>
      </c>
      <c r="G126" s="221">
        <f>IF(Notes!$B$2="June",ROUND('Budget by Source'!G126/10,0)+V126,ROUND('Budget by Source'!G126/10,0))</f>
        <v>12727</v>
      </c>
      <c r="H126" s="221">
        <f>INDEX('AEA Funding and Payments'!$A$8:$T$332,MATCH('Payment by Source'!$A126,'AEA Funding and Payments'!$A$8:$A$332,0),MATCH(H$5,'AEA Funding and Payments'!$A$4:$T$4,0))</f>
        <v>6571</v>
      </c>
      <c r="I126" s="221">
        <f>IF(Notes!$B$2="June",INDEX('AEA Funding and Payments'!$A$8:$AI$332,MATCH('Payment by Source'!$A126,'AEA Funding and Payments'!$A$8:$A$332,0),34),
ROUND(INDEX('AEA Funding and Payments'!$A$8:$T$332,MATCH('Payment by Source'!$A126,'AEA Funding and Payments'!$A$8:$A$332,0),MATCH(I$5,'AEA Funding and Payments'!$A$4:$T$4,0))/10,0))</f>
        <v>984</v>
      </c>
      <c r="J126" s="221">
        <f t="shared" si="5"/>
        <v>157745</v>
      </c>
      <c r="K126" s="221">
        <f>INDEX(Data[],MATCH($A126,Data[Dist],0),MATCH(K$5,Data[#Headers],0))</f>
        <v>238125</v>
      </c>
      <c r="M126" s="59">
        <f>INDEX('Payment Total'!$A$7:$H$331,MATCH('Payment by Source'!$A126,'Payment Total'!$A$7:$A$331,0),6)-K126</f>
        <v>0</v>
      </c>
      <c r="O126" s="263">
        <f t="shared" si="8"/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1582234</v>
      </c>
      <c r="X126" s="136">
        <f t="shared" si="6"/>
        <v>158223</v>
      </c>
      <c r="Y126" s="136">
        <f t="shared" si="7"/>
        <v>1582230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4772</v>
      </c>
      <c r="D127" s="221">
        <f>IF(Notes!$B$2="June",ROUND('Budget by Source'!D127/10,0)+S127,ROUND('Budget by Source'!D127/10,0))</f>
        <v>48639</v>
      </c>
      <c r="E127" s="221">
        <f>IF(Notes!$B$2="June",ROUND('Budget by Source'!E127/10,0)+T127,ROUND('Budget by Source'!E127/10,0))</f>
        <v>3226</v>
      </c>
      <c r="F127" s="221">
        <f>IF(Notes!$B$2="June",ROUND('Budget by Source'!F127/10,0)+U127,ROUND('Budget by Source'!F127/10,0))</f>
        <v>2683</v>
      </c>
      <c r="G127" s="221">
        <f>IF(Notes!$B$2="June",ROUND('Budget by Source'!G127/10,0)+V127,ROUND('Budget by Source'!G127/10,0))</f>
        <v>14726</v>
      </c>
      <c r="H127" s="221">
        <f>INDEX('AEA Funding and Payments'!$A$8:$T$332,MATCH('Payment by Source'!$A127,'AEA Funding and Payments'!$A$8:$A$332,0),MATCH(H$5,'AEA Funding and Payments'!$A$4:$T$4,0))</f>
        <v>7724</v>
      </c>
      <c r="I127" s="221">
        <f>IF(Notes!$B$2="June",INDEX('AEA Funding and Payments'!$A$8:$AI$332,MATCH('Payment by Source'!$A127,'AEA Funding and Payments'!$A$8:$A$332,0),34),
ROUND(INDEX('AEA Funding and Payments'!$A$8:$T$332,MATCH('Payment by Source'!$A127,'AEA Funding and Payments'!$A$8:$A$332,0),MATCH(I$5,'AEA Funding and Payments'!$A$4:$T$4,0))/10,0))</f>
        <v>1243</v>
      </c>
      <c r="J127" s="221">
        <f t="shared" si="5"/>
        <v>158130</v>
      </c>
      <c r="K127" s="221">
        <f>INDEX(Data[],MATCH($A127,Data[Dist],0),MATCH(K$5,Data[#Headers],0))</f>
        <v>241143</v>
      </c>
      <c r="M127" s="59">
        <f>INDEX('Payment Total'!$A$7:$H$331,MATCH('Payment by Source'!$A127,'Payment Total'!$A$7:$A$331,0),6)-K127</f>
        <v>0</v>
      </c>
      <c r="O127" s="263">
        <f t="shared" si="8"/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1586975</v>
      </c>
      <c r="X127" s="136">
        <f t="shared" si="6"/>
        <v>158698</v>
      </c>
      <c r="Y127" s="136">
        <f t="shared" si="7"/>
        <v>1586980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17752</v>
      </c>
      <c r="D128" s="221">
        <f>IF(Notes!$B$2="June",ROUND('Budget by Source'!D128/10,0)+S128,ROUND('Budget by Source'!D128/10,0))</f>
        <v>84413</v>
      </c>
      <c r="E128" s="221">
        <f>IF(Notes!$B$2="June",ROUND('Budget by Source'!E128/10,0)+T128,ROUND('Budget by Source'!E128/10,0))</f>
        <v>5458</v>
      </c>
      <c r="F128" s="221">
        <f>IF(Notes!$B$2="June",ROUND('Budget by Source'!F128/10,0)+U128,ROUND('Budget by Source'!F128/10,0))</f>
        <v>5467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13706</v>
      </c>
      <c r="I128" s="221">
        <f>IF(Notes!$B$2="June",INDEX('AEA Funding and Payments'!$A$8:$AI$332,MATCH('Payment by Source'!$A128,'AEA Funding and Payments'!$A$8:$A$332,0),34),
ROUND(INDEX('AEA Funding and Payments'!$A$8:$T$332,MATCH('Payment by Source'!$A128,'AEA Funding and Payments'!$A$8:$A$332,0),MATCH(I$5,'AEA Funding and Payments'!$A$4:$T$4,0))/10,0))</f>
        <v>2155</v>
      </c>
      <c r="J128" s="221">
        <f t="shared" si="5"/>
        <v>376666</v>
      </c>
      <c r="K128" s="221">
        <f>INDEX(Data[],MATCH($A128,Data[Dist],0),MATCH(K$5,Data[#Headers],0))</f>
        <v>531088</v>
      </c>
      <c r="M128" s="59">
        <f>INDEX('Payment Total'!$A$7:$H$331,MATCH('Payment by Source'!$A128,'Payment Total'!$A$7:$A$331,0),6)-K128</f>
        <v>0</v>
      </c>
      <c r="O128" s="263">
        <f t="shared" si="8"/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3776280</v>
      </c>
      <c r="X128" s="136">
        <f t="shared" si="6"/>
        <v>377628</v>
      </c>
      <c r="Y128" s="136">
        <f t="shared" si="7"/>
        <v>3776280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11530</v>
      </c>
      <c r="D129" s="221">
        <f>IF(Notes!$B$2="June",ROUND('Budget by Source'!D129/10,0)+S129,ROUND('Budget by Source'!D129/10,0))</f>
        <v>64825</v>
      </c>
      <c r="E129" s="221">
        <f>IF(Notes!$B$2="June",ROUND('Budget by Source'!E129/10,0)+T129,ROUND('Budget by Source'!E129/10,0))</f>
        <v>2348</v>
      </c>
      <c r="F129" s="221">
        <f>IF(Notes!$B$2="June",ROUND('Budget by Source'!F129/10,0)+U129,ROUND('Budget by Source'!F129/10,0))</f>
        <v>2308</v>
      </c>
      <c r="G129" s="221">
        <f>IF(Notes!$B$2="June",ROUND('Budget by Source'!G129/10,0)+V129,ROUND('Budget by Source'!G129/10,0))</f>
        <v>9685</v>
      </c>
      <c r="H129" s="221">
        <f>INDEX('AEA Funding and Payments'!$A$8:$T$332,MATCH('Payment by Source'!$A129,'AEA Funding and Payments'!$A$8:$A$332,0),MATCH(H$5,'AEA Funding and Payments'!$A$4:$T$4,0))</f>
        <v>5314</v>
      </c>
      <c r="I129" s="221">
        <f>IF(Notes!$B$2="June",INDEX('AEA Funding and Payments'!$A$8:$AI$332,MATCH('Payment by Source'!$A129,'AEA Funding and Payments'!$A$8:$A$332,0),34),
ROUND(INDEX('AEA Funding and Payments'!$A$8:$T$332,MATCH('Payment by Source'!$A129,'AEA Funding and Payments'!$A$8:$A$332,0),MATCH(I$5,'AEA Funding and Payments'!$A$4:$T$4,0))/10,0))</f>
        <v>882</v>
      </c>
      <c r="J129" s="221">
        <f t="shared" si="5"/>
        <v>112975</v>
      </c>
      <c r="K129" s="221">
        <f>INDEX(Data[],MATCH($A129,Data[Dist],0),MATCH(K$5,Data[#Headers],0))</f>
        <v>209867</v>
      </c>
      <c r="M129" s="59">
        <f>INDEX('Payment Total'!$A$7:$H$331,MATCH('Payment by Source'!$A129,'Payment Total'!$A$7:$A$331,0),6)-K129</f>
        <v>0</v>
      </c>
      <c r="O129" s="263">
        <f t="shared" si="8"/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1133437</v>
      </c>
      <c r="X129" s="136">
        <f t="shared" si="6"/>
        <v>113344</v>
      </c>
      <c r="Y129" s="136">
        <f t="shared" si="7"/>
        <v>1133440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26250</v>
      </c>
      <c r="D130" s="221">
        <f>IF(Notes!$B$2="June",ROUND('Budget by Source'!D130/10,0)+S130,ROUND('Budget by Source'!D130/10,0))</f>
        <v>140853</v>
      </c>
      <c r="E130" s="221">
        <f>IF(Notes!$B$2="June",ROUND('Budget by Source'!E130/10,0)+T130,ROUND('Budget by Source'!E130/10,0))</f>
        <v>12804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59880</v>
      </c>
      <c r="H130" s="221">
        <f>INDEX('AEA Funding and Payments'!$A$8:$T$332,MATCH('Payment by Source'!$A130,'AEA Funding and Payments'!$A$8:$A$332,0),MATCH(H$5,'AEA Funding and Payments'!$A$4:$T$4,0))</f>
        <v>32333</v>
      </c>
      <c r="I130" s="221">
        <f>IF(Notes!$B$2="June",INDEX('AEA Funding and Payments'!$A$8:$AI$332,MATCH('Payment by Source'!$A130,'AEA Funding and Payments'!$A$8:$A$332,0),34),
ROUND(INDEX('AEA Funding and Payments'!$A$8:$T$332,MATCH('Payment by Source'!$A130,'AEA Funding and Payments'!$A$8:$A$332,0),MATCH(I$5,'AEA Funding and Payments'!$A$4:$T$4,0))/10,0))</f>
        <v>5053</v>
      </c>
      <c r="J130" s="221">
        <f t="shared" si="5"/>
        <v>913868</v>
      </c>
      <c r="K130" s="221">
        <f>INDEX(Data[],MATCH($A130,Data[Dist],0),MATCH(K$5,Data[#Headers],0))</f>
        <v>1202584</v>
      </c>
      <c r="M130" s="59">
        <f>INDEX('Payment Total'!$A$7:$H$331,MATCH('Payment by Source'!$A130,'Payment Total'!$A$7:$A$331,0),6)-K130</f>
        <v>0</v>
      </c>
      <c r="O130" s="263">
        <f t="shared" si="8"/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9161548</v>
      </c>
      <c r="X130" s="136">
        <f t="shared" si="6"/>
        <v>916155</v>
      </c>
      <c r="Y130" s="136">
        <f t="shared" si="7"/>
        <v>9161550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5967</v>
      </c>
      <c r="D131" s="221">
        <f>IF(Notes!$B$2="June",ROUND('Budget by Source'!D131/10,0)+S131,ROUND('Budget by Source'!D131/10,0))</f>
        <v>61399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3190</v>
      </c>
      <c r="G131" s="221">
        <f>IF(Notes!$B$2="June",ROUND('Budget by Source'!G131/10,0)+V131,ROUND('Budget by Source'!G131/10,0))</f>
        <v>17362</v>
      </c>
      <c r="H131" s="221">
        <f>INDEX('AEA Funding and Payments'!$A$8:$T$332,MATCH('Payment by Source'!$A131,'AEA Funding and Payments'!$A$8:$A$332,0),MATCH(H$5,'AEA Funding and Payments'!$A$4:$T$4,0))</f>
        <v>9864</v>
      </c>
      <c r="I131" s="221">
        <f>IF(Notes!$B$2="June",INDEX('AEA Funding and Payments'!$A$8:$AI$332,MATCH('Payment by Source'!$A131,'AEA Funding and Payments'!$A$8:$A$332,0),34),
ROUND(INDEX('AEA Funding and Payments'!$A$8:$T$332,MATCH('Payment by Source'!$A131,'AEA Funding and Payments'!$A$8:$A$332,0),MATCH(I$5,'AEA Funding and Payments'!$A$4:$T$4,0))/10,0))</f>
        <v>1594</v>
      </c>
      <c r="J131" s="221">
        <f t="shared" si="5"/>
        <v>218442</v>
      </c>
      <c r="K131" s="221">
        <f>INDEX(Data[],MATCH($A131,Data[Dist],0),MATCH(K$5,Data[#Headers],0))</f>
        <v>321081</v>
      </c>
      <c r="M131" s="59">
        <f>INDEX('Payment Total'!$A$7:$H$331,MATCH('Payment by Source'!$A131,'Payment Total'!$A$7:$A$331,0),6)-K131</f>
        <v>0</v>
      </c>
      <c r="O131" s="263">
        <f t="shared" si="8"/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2191064</v>
      </c>
      <c r="X131" s="136">
        <f t="shared" si="6"/>
        <v>219106</v>
      </c>
      <c r="Y131" s="136">
        <f t="shared" si="7"/>
        <v>2191060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16311</v>
      </c>
      <c r="D132" s="221">
        <f>IF(Notes!$B$2="June",ROUND('Budget by Source'!D132/10,0)+S132,ROUND('Budget by Source'!D132/10,0))</f>
        <v>78493</v>
      </c>
      <c r="E132" s="221">
        <f>IF(Notes!$B$2="June",ROUND('Budget by Source'!E132/10,0)+T132,ROUND('Budget by Source'!E132/10,0))</f>
        <v>5072</v>
      </c>
      <c r="F132" s="221">
        <f>IF(Notes!$B$2="June",ROUND('Budget by Source'!F132/10,0)+U132,ROUND('Budget by Source'!F132/10,0))</f>
        <v>5458</v>
      </c>
      <c r="G132" s="221">
        <f>IF(Notes!$B$2="June",ROUND('Budget by Source'!G132/10,0)+V132,ROUND('Budget by Source'!G132/10,0))</f>
        <v>26430</v>
      </c>
      <c r="H132" s="221">
        <f>INDEX('AEA Funding and Payments'!$A$8:$T$332,MATCH('Payment by Source'!$A132,'AEA Funding and Payments'!$A$8:$A$332,0),MATCH(H$5,'AEA Funding and Payments'!$A$4:$T$4,0))</f>
        <v>14241</v>
      </c>
      <c r="I132" s="221">
        <f>IF(Notes!$B$2="June",INDEX('AEA Funding and Payments'!$A$8:$AI$332,MATCH('Payment by Source'!$A132,'AEA Funding and Payments'!$A$8:$A$332,0),34),
ROUND(INDEX('AEA Funding and Payments'!$A$8:$T$332,MATCH('Payment by Source'!$A132,'AEA Funding and Payments'!$A$8:$A$332,0),MATCH(I$5,'AEA Funding and Payments'!$A$4:$T$4,0))/10,0))</f>
        <v>2226</v>
      </c>
      <c r="J132" s="221">
        <f t="shared" si="5"/>
        <v>410173</v>
      </c>
      <c r="K132" s="221">
        <f>INDEX(Data[],MATCH($A132,Data[Dist],0),MATCH(K$5,Data[#Headers],0))</f>
        <v>558404</v>
      </c>
      <c r="M132" s="59">
        <f>INDEX('Payment Total'!$A$7:$H$331,MATCH('Payment by Source'!$A132,'Payment Total'!$A$7:$A$331,0),6)-K132</f>
        <v>0</v>
      </c>
      <c r="O132" s="263">
        <f t="shared" si="8"/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4112115</v>
      </c>
      <c r="X132" s="136">
        <f t="shared" si="6"/>
        <v>411212</v>
      </c>
      <c r="Y132" s="136">
        <f t="shared" si="7"/>
        <v>4112120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58350</v>
      </c>
      <c r="E133" s="221">
        <f>IF(Notes!$B$2="June",ROUND('Budget by Source'!E133/10,0)+T133,ROUND('Budget by Source'!E133/10,0))</f>
        <v>3367</v>
      </c>
      <c r="F133" s="221">
        <f>IF(Notes!$B$2="June",ROUND('Budget by Source'!F133/10,0)+U133,ROUND('Budget by Source'!F133/10,0))</f>
        <v>2867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8330</v>
      </c>
      <c r="I133" s="221">
        <f>IF(Notes!$B$2="June",INDEX('AEA Funding and Payments'!$A$8:$AI$332,MATCH('Payment by Source'!$A133,'AEA Funding and Payments'!$A$8:$A$332,0),34),
ROUND(INDEX('AEA Funding and Payments'!$A$8:$T$332,MATCH('Payment by Source'!$A133,'AEA Funding and Payments'!$A$8:$A$332,0),MATCH(I$5,'AEA Funding and Payments'!$A$4:$T$4,0))/10,0))</f>
        <v>1243</v>
      </c>
      <c r="J133" s="221">
        <f t="shared" si="5"/>
        <v>224461</v>
      </c>
      <c r="K133" s="221">
        <f>INDEX(Data[],MATCH($A133,Data[Dist],0),MATCH(K$5,Data[#Headers],0))</f>
        <v>325905</v>
      </c>
      <c r="M133" s="59">
        <f>INDEX('Payment Total'!$A$7:$H$331,MATCH('Payment by Source'!$A133,'Payment Total'!$A$7:$A$331,0),6)-K133</f>
        <v>0</v>
      </c>
      <c r="O133" s="263">
        <f t="shared" si="8"/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2250409</v>
      </c>
      <c r="X133" s="136">
        <f t="shared" si="6"/>
        <v>225041</v>
      </c>
      <c r="Y133" s="136">
        <f t="shared" si="7"/>
        <v>2250410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64213</v>
      </c>
      <c r="E134" s="221">
        <f>IF(Notes!$B$2="June",ROUND('Budget by Source'!E134/10,0)+T134,ROUND('Budget by Source'!E134/10,0))</f>
        <v>4693</v>
      </c>
      <c r="F134" s="221">
        <f>IF(Notes!$B$2="June",ROUND('Budget by Source'!F134/10,0)+U134,ROUND('Budget by Source'!F134/10,0))</f>
        <v>5056</v>
      </c>
      <c r="G134" s="221">
        <f>IF(Notes!$B$2="June",ROUND('Budget by Source'!G134/10,0)+V134,ROUND('Budget by Source'!G134/10,0))</f>
        <v>25008</v>
      </c>
      <c r="H134" s="221">
        <f>INDEX('AEA Funding and Payments'!$A$8:$T$332,MATCH('Payment by Source'!$A134,'AEA Funding and Payments'!$A$8:$A$332,0),MATCH(H$5,'AEA Funding and Payments'!$A$4:$T$4,0))</f>
        <v>13386</v>
      </c>
      <c r="I134" s="221">
        <f>IF(Notes!$B$2="June",INDEX('AEA Funding and Payments'!$A$8:$AI$332,MATCH('Payment by Source'!$A134,'AEA Funding and Payments'!$A$8:$A$332,0),34),
ROUND(INDEX('AEA Funding and Payments'!$A$8:$T$332,MATCH('Payment by Source'!$A134,'AEA Funding and Payments'!$A$8:$A$332,0),MATCH(I$5,'AEA Funding and Payments'!$A$4:$T$4,0))/10,0))</f>
        <v>2184</v>
      </c>
      <c r="J134" s="221">
        <f t="shared" si="5"/>
        <v>310589</v>
      </c>
      <c r="K134" s="221">
        <f>INDEX(Data[],MATCH($A134,Data[Dist],0),MATCH(K$5,Data[#Headers],0))</f>
        <v>439050</v>
      </c>
      <c r="M134" s="59">
        <f>INDEX('Payment Total'!$A$7:$H$331,MATCH('Payment by Source'!$A134,'Payment Total'!$A$7:$A$331,0),6)-K134</f>
        <v>0</v>
      </c>
      <c r="O134" s="263">
        <f t="shared" si="8"/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3115613</v>
      </c>
      <c r="X134" s="136">
        <f t="shared" si="6"/>
        <v>311561</v>
      </c>
      <c r="Y134" s="136">
        <f t="shared" si="7"/>
        <v>3115610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7162</v>
      </c>
      <c r="D135" s="221">
        <f>IF(Notes!$B$2="June",ROUND('Budget by Source'!D135/10,0)+S135,ROUND('Budget by Source'!D135/10,0))</f>
        <v>43069</v>
      </c>
      <c r="E135" s="221">
        <f>IF(Notes!$B$2="June",ROUND('Budget by Source'!E135/10,0)+T135,ROUND('Budget by Source'!E135/10,0))</f>
        <v>2367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11965</v>
      </c>
      <c r="H135" s="221">
        <f>INDEX('AEA Funding and Payments'!$A$8:$T$332,MATCH('Payment by Source'!$A135,'AEA Funding and Payments'!$A$8:$A$332,0),MATCH(H$5,'AEA Funding and Payments'!$A$4:$T$4,0))</f>
        <v>6320</v>
      </c>
      <c r="I135" s="221">
        <f>IF(Notes!$B$2="June",INDEX('AEA Funding and Payments'!$A$8:$AI$332,MATCH('Payment by Source'!$A135,'AEA Funding and Payments'!$A$8:$A$332,0),34),
ROUND(INDEX('AEA Funding and Payments'!$A$8:$T$332,MATCH('Payment by Source'!$A135,'AEA Funding and Payments'!$A$8:$A$332,0),MATCH(I$5,'AEA Funding and Payments'!$A$4:$T$4,0))/10,0))</f>
        <v>1010</v>
      </c>
      <c r="J135" s="221">
        <f t="shared" ref="J135:J198" si="9">K135-SUM(C135:I135)</f>
        <v>162199</v>
      </c>
      <c r="K135" s="221">
        <f>INDEX(Data[],MATCH($A135,Data[Dist],0),MATCH(K$5,Data[#Headers],0))</f>
        <v>236397</v>
      </c>
      <c r="M135" s="59">
        <f>INDEX('Payment Total'!$A$7:$H$331,MATCH('Payment by Source'!$A135,'Payment Total'!$A$7:$A$331,0),6)-K135</f>
        <v>0</v>
      </c>
      <c r="O135" s="263">
        <f t="shared" si="8"/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1626773</v>
      </c>
      <c r="X135" s="136">
        <f t="shared" ref="X135:X198" si="10">ROUND(W135/10,0)</f>
        <v>162677</v>
      </c>
      <c r="Y135" s="136">
        <f t="shared" ref="Y135:Y198" si="11">X135*10</f>
        <v>1626770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3981</v>
      </c>
      <c r="D136" s="221">
        <f>IF(Notes!$B$2="June",ROUND('Budget by Source'!D136/10,0)+S136,ROUND('Budget by Source'!D136/10,0))</f>
        <v>30995</v>
      </c>
      <c r="E136" s="221">
        <f>IF(Notes!$B$2="June",ROUND('Budget by Source'!E136/10,0)+T136,ROUND('Budget by Source'!E136/10,0))</f>
        <v>1678</v>
      </c>
      <c r="F136" s="221">
        <f>IF(Notes!$B$2="June",ROUND('Budget by Source'!F136/10,0)+U136,ROUND('Budget by Source'!F136/10,0))</f>
        <v>1490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4360</v>
      </c>
      <c r="I136" s="221">
        <f>IF(Notes!$B$2="June",INDEX('AEA Funding and Payments'!$A$8:$AI$332,MATCH('Payment by Source'!$A136,'AEA Funding and Payments'!$A$8:$A$332,0),34),
ROUND(INDEX('AEA Funding and Payments'!$A$8:$T$332,MATCH('Payment by Source'!$A136,'AEA Funding and Payments'!$A$8:$A$332,0),MATCH(I$5,'AEA Funding and Payments'!$A$4:$T$4,0))/10,0))</f>
        <v>719</v>
      </c>
      <c r="J136" s="221">
        <f t="shared" si="9"/>
        <v>60677</v>
      </c>
      <c r="K136" s="221">
        <f>INDEX(Data[],MATCH($A136,Data[Dist],0),MATCH(K$5,Data[#Headers],0))</f>
        <v>111757</v>
      </c>
      <c r="M136" s="59">
        <f>INDEX('Payment Total'!$A$7:$H$331,MATCH('Payment by Source'!$A136,'Payment Total'!$A$7:$A$331,0),6)-K136</f>
        <v>0</v>
      </c>
      <c r="O136" s="263">
        <f t="shared" si="8"/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609872</v>
      </c>
      <c r="X136" s="136">
        <f t="shared" si="10"/>
        <v>60987</v>
      </c>
      <c r="Y136" s="136">
        <f t="shared" si="11"/>
        <v>609870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22674</v>
      </c>
      <c r="D137" s="221">
        <f>IF(Notes!$B$2="June",ROUND('Budget by Source'!D137/10,0)+S137,ROUND('Budget by Source'!D137/10,0))</f>
        <v>96560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8522</v>
      </c>
      <c r="G137" s="221">
        <f>IF(Notes!$B$2="June",ROUND('Budget by Source'!G137/10,0)+V137,ROUND('Budget by Source'!G137/10,0))</f>
        <v>42454</v>
      </c>
      <c r="H137" s="221">
        <f>INDEX('AEA Funding and Payments'!$A$8:$T$332,MATCH('Payment by Source'!$A137,'AEA Funding and Payments'!$A$8:$A$332,0),MATCH(H$5,'AEA Funding and Payments'!$A$4:$T$4,0))</f>
        <v>23606</v>
      </c>
      <c r="I137" s="221">
        <f>IF(Notes!$B$2="June",INDEX('AEA Funding and Payments'!$A$8:$AI$332,MATCH('Payment by Source'!$A137,'AEA Funding and Payments'!$A$8:$A$332,0),34),
ROUND(INDEX('AEA Funding and Payments'!$A$8:$T$332,MATCH('Payment by Source'!$A137,'AEA Funding and Payments'!$A$8:$A$332,0),MATCH(I$5,'AEA Funding and Payments'!$A$4:$T$4,0))/10,0))</f>
        <v>3694</v>
      </c>
      <c r="J137" s="221">
        <f t="shared" si="9"/>
        <v>710418</v>
      </c>
      <c r="K137" s="221">
        <f>INDEX(Data[],MATCH($A137,Data[Dist],0),MATCH(K$5,Data[#Headers],0))</f>
        <v>917939</v>
      </c>
      <c r="M137" s="59">
        <f>INDEX('Payment Total'!$A$7:$H$331,MATCH('Payment by Source'!$A137,'Payment Total'!$A$7:$A$331,0),6)-K137</f>
        <v>0</v>
      </c>
      <c r="O137" s="263">
        <f t="shared" si="8"/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7120830</v>
      </c>
      <c r="X137" s="136">
        <f t="shared" si="10"/>
        <v>712083</v>
      </c>
      <c r="Y137" s="136">
        <f t="shared" si="11"/>
        <v>7120830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35794</v>
      </c>
      <c r="D138" s="221">
        <f>IF(Notes!$B$2="June",ROUND('Budget by Source'!D138/10,0)+S138,ROUND('Budget by Source'!D138/10,0))</f>
        <v>116411</v>
      </c>
      <c r="E138" s="221">
        <f>IF(Notes!$B$2="June",ROUND('Budget by Source'!E138/10,0)+T138,ROUND('Budget by Source'!E138/10,0))</f>
        <v>11302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54196</v>
      </c>
      <c r="H138" s="221">
        <f>INDEX('AEA Funding and Payments'!$A$8:$T$332,MATCH('Payment by Source'!$A138,'AEA Funding and Payments'!$A$8:$A$332,0),MATCH(H$5,'AEA Funding and Payments'!$A$4:$T$4,0))</f>
        <v>28591</v>
      </c>
      <c r="I138" s="221">
        <f>IF(Notes!$B$2="June",INDEX('AEA Funding and Payments'!$A$8:$AI$332,MATCH('Payment by Source'!$A138,'AEA Funding and Payments'!$A$8:$A$332,0),34),
ROUND(INDEX('AEA Funding and Payments'!$A$8:$T$332,MATCH('Payment by Source'!$A138,'AEA Funding and Payments'!$A$8:$A$332,0),MATCH(I$5,'AEA Funding and Payments'!$A$4:$T$4,0))/10,0))</f>
        <v>4417</v>
      </c>
      <c r="J138" s="221">
        <f t="shared" si="9"/>
        <v>773241</v>
      </c>
      <c r="K138" s="221">
        <f>INDEX(Data[],MATCH($A138,Data[Dist],0),MATCH(K$5,Data[#Headers],0))</f>
        <v>1035200</v>
      </c>
      <c r="M138" s="59">
        <f>INDEX('Payment Total'!$A$7:$H$331,MATCH('Payment by Source'!$A138,'Payment Total'!$A$7:$A$331,0),6)-K138</f>
        <v>0</v>
      </c>
      <c r="O138" s="263">
        <f t="shared" si="8"/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7752819</v>
      </c>
      <c r="X138" s="136">
        <f t="shared" si="10"/>
        <v>775282</v>
      </c>
      <c r="Y138" s="136">
        <f t="shared" si="11"/>
        <v>7752820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4377</v>
      </c>
      <c r="D139" s="221">
        <f>IF(Notes!$B$2="June",ROUND('Budget by Source'!D139/10,0)+S139,ROUND('Budget by Source'!D139/10,0))</f>
        <v>50635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11522</v>
      </c>
      <c r="H139" s="221">
        <f>INDEX('AEA Funding and Payments'!$A$8:$T$332,MATCH('Payment by Source'!$A139,'AEA Funding and Payments'!$A$8:$A$332,0),MATCH(H$5,'AEA Funding and Payments'!$A$4:$T$4,0))</f>
        <v>6148</v>
      </c>
      <c r="I139" s="221">
        <f>IF(Notes!$B$2="June",INDEX('AEA Funding and Payments'!$A$8:$AI$332,MATCH('Payment by Source'!$A139,'AEA Funding and Payments'!$A$8:$A$332,0),34),
ROUND(INDEX('AEA Funding and Payments'!$A$8:$T$332,MATCH('Payment by Source'!$A139,'AEA Funding and Payments'!$A$8:$A$332,0),MATCH(I$5,'AEA Funding and Payments'!$A$4:$T$4,0))/10,0))</f>
        <v>989</v>
      </c>
      <c r="J139" s="221">
        <f t="shared" si="9"/>
        <v>81010</v>
      </c>
      <c r="K139" s="221">
        <f>INDEX(Data[],MATCH($A139,Data[Dist],0),MATCH(K$5,Data[#Headers],0))</f>
        <v>159770</v>
      </c>
      <c r="M139" s="59">
        <f>INDEX('Payment Total'!$A$7:$H$331,MATCH('Payment by Source'!$A139,'Payment Total'!$A$7:$A$331,0),6)-K139</f>
        <v>0</v>
      </c>
      <c r="O139" s="263">
        <f t="shared" ref="O139:O202" si="12">SUM(C139:J139)-K139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814686</v>
      </c>
      <c r="X139" s="136">
        <f t="shared" si="10"/>
        <v>81469</v>
      </c>
      <c r="Y139" s="136">
        <f t="shared" si="11"/>
        <v>814690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8349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5634</v>
      </c>
      <c r="F140" s="221">
        <f>IF(Notes!$B$2="June",ROUND('Budget by Source'!F140/10,0)+U140,ROUND('Budget by Source'!F140/10,0))</f>
        <v>5894</v>
      </c>
      <c r="G140" s="221">
        <f>IF(Notes!$B$2="June",ROUND('Budget by Source'!G140/10,0)+V140,ROUND('Budget by Source'!G140/10,0))</f>
        <v>29095</v>
      </c>
      <c r="H140" s="221">
        <f>INDEX('AEA Funding and Payments'!$A$8:$T$332,MATCH('Payment by Source'!$A140,'AEA Funding and Payments'!$A$8:$A$332,0),MATCH(H$5,'AEA Funding and Payments'!$A$4:$T$4,0))</f>
        <v>13993</v>
      </c>
      <c r="I140" s="221">
        <f>IF(Notes!$B$2="June",INDEX('AEA Funding and Payments'!$A$8:$AI$332,MATCH('Payment by Source'!$A140,'AEA Funding and Payments'!$A$8:$A$332,0),34),
ROUND(INDEX('AEA Funding and Payments'!$A$8:$T$332,MATCH('Payment by Source'!$A140,'AEA Funding and Payments'!$A$8:$A$332,0),MATCH(I$5,'AEA Funding and Payments'!$A$4:$T$4,0))/10,0))</f>
        <v>2218</v>
      </c>
      <c r="J140" s="221">
        <f t="shared" si="9"/>
        <v>240267</v>
      </c>
      <c r="K140" s="221">
        <f>INDEX(Data[],MATCH($A140,Data[Dist],0),MATCH(K$5,Data[#Headers],0))</f>
        <v>389109</v>
      </c>
      <c r="M140" s="59">
        <f>INDEX('Payment Total'!$A$7:$H$331,MATCH('Payment by Source'!$A140,'Payment Total'!$A$7:$A$331,0),6)-K140</f>
        <v>0</v>
      </c>
      <c r="O140" s="263">
        <f t="shared" si="12"/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2412285</v>
      </c>
      <c r="X140" s="136">
        <f t="shared" si="10"/>
        <v>241229</v>
      </c>
      <c r="Y140" s="136">
        <f t="shared" si="11"/>
        <v>2412290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71958</v>
      </c>
      <c r="E141" s="221">
        <f>IF(Notes!$B$2="June",ROUND('Budget by Source'!E141/10,0)+T141,ROUND('Budget by Source'!E141/10,0))</f>
        <v>4972</v>
      </c>
      <c r="F141" s="221">
        <f>IF(Notes!$B$2="June",ROUND('Budget by Source'!F141/10,0)+U141,ROUND('Budget by Source'!F141/10,0))</f>
        <v>4476</v>
      </c>
      <c r="G141" s="221">
        <f>IF(Notes!$B$2="June",ROUND('Budget by Source'!G141/10,0)+V141,ROUND('Budget by Source'!G141/10,0))</f>
        <v>22520</v>
      </c>
      <c r="H141" s="221">
        <f>INDEX('AEA Funding and Payments'!$A$8:$T$332,MATCH('Payment by Source'!$A141,'AEA Funding and Payments'!$A$8:$A$332,0),MATCH(H$5,'AEA Funding and Payments'!$A$4:$T$4,0))</f>
        <v>11611</v>
      </c>
      <c r="I141" s="221">
        <f>IF(Notes!$B$2="June",INDEX('AEA Funding and Payments'!$A$8:$AI$332,MATCH('Payment by Source'!$A141,'AEA Funding and Payments'!$A$8:$A$332,0),34),
ROUND(INDEX('AEA Funding and Payments'!$A$8:$T$332,MATCH('Payment by Source'!$A141,'AEA Funding and Payments'!$A$8:$A$332,0),MATCH(I$5,'AEA Funding and Payments'!$A$4:$T$4,0))/10,0))</f>
        <v>1859</v>
      </c>
      <c r="J141" s="221">
        <f t="shared" si="9"/>
        <v>265299</v>
      </c>
      <c r="K141" s="221">
        <f>INDEX(Data[],MATCH($A141,Data[Dist],0),MATCH(K$5,Data[#Headers],0))</f>
        <v>395025</v>
      </c>
      <c r="M141" s="59">
        <f>INDEX('Payment Total'!$A$7:$H$331,MATCH('Payment by Source'!$A141,'Payment Total'!$A$7:$A$331,0),6)-K141</f>
        <v>0</v>
      </c>
      <c r="O141" s="263">
        <f t="shared" si="12"/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2661271</v>
      </c>
      <c r="X141" s="136">
        <f t="shared" si="10"/>
        <v>266127</v>
      </c>
      <c r="Y141" s="136">
        <f t="shared" si="11"/>
        <v>2661270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56795</v>
      </c>
      <c r="E142" s="221">
        <f>IF(Notes!$B$2="June",ROUND('Budget by Source'!E142/10,0)+T142,ROUND('Budget by Source'!E142/10,0))</f>
        <v>5028</v>
      </c>
      <c r="F142" s="221">
        <f>IF(Notes!$B$2="June",ROUND('Budget by Source'!F142/10,0)+U142,ROUND('Budget by Source'!F142/10,0))</f>
        <v>4667</v>
      </c>
      <c r="G142" s="221">
        <f>IF(Notes!$B$2="June",ROUND('Budget by Source'!G142/10,0)+V142,ROUND('Budget by Source'!G142/10,0))</f>
        <v>22586</v>
      </c>
      <c r="H142" s="221">
        <f>INDEX('AEA Funding and Payments'!$A$8:$T$332,MATCH('Payment by Source'!$A142,'AEA Funding and Payments'!$A$8:$A$332,0),MATCH(H$5,'AEA Funding and Payments'!$A$4:$T$4,0))</f>
        <v>11710</v>
      </c>
      <c r="I142" s="221">
        <f>IF(Notes!$B$2="June",INDEX('AEA Funding and Payments'!$A$8:$AI$332,MATCH('Payment by Source'!$A142,'AEA Funding and Payments'!$A$8:$A$332,0),34),
ROUND(INDEX('AEA Funding and Payments'!$A$8:$T$332,MATCH('Payment by Source'!$A142,'AEA Funding and Payments'!$A$8:$A$332,0),MATCH(I$5,'AEA Funding and Payments'!$A$4:$T$4,0))/10,0))</f>
        <v>1853</v>
      </c>
      <c r="J142" s="221">
        <f t="shared" si="9"/>
        <v>315684</v>
      </c>
      <c r="K142" s="221">
        <f>INDEX(Data[],MATCH($A142,Data[Dist],0),MATCH(K$5,Data[#Headers],0))</f>
        <v>432244</v>
      </c>
      <c r="M142" s="59">
        <f>INDEX('Payment Total'!$A$7:$H$331,MATCH('Payment by Source'!$A142,'Payment Total'!$A$7:$A$331,0),6)-K142</f>
        <v>0</v>
      </c>
      <c r="O142" s="263">
        <f t="shared" si="12"/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3165459</v>
      </c>
      <c r="X142" s="136">
        <f t="shared" si="10"/>
        <v>316546</v>
      </c>
      <c r="Y142" s="136">
        <f t="shared" si="11"/>
        <v>3165460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23464</v>
      </c>
      <c r="D143" s="221">
        <f>IF(Notes!$B$2="June",ROUND('Budget by Source'!D143/10,0)+S143,ROUND('Budget by Source'!D143/10,0))</f>
        <v>114025</v>
      </c>
      <c r="E143" s="221">
        <f>IF(Notes!$B$2="June",ROUND('Budget by Source'!E143/10,0)+T143,ROUND('Budget by Source'!E143/10,0))</f>
        <v>9507</v>
      </c>
      <c r="F143" s="221">
        <f>IF(Notes!$B$2="June",ROUND('Budget by Source'!F143/10,0)+U143,ROUND('Budget by Source'!F143/10,0))</f>
        <v>9509</v>
      </c>
      <c r="G143" s="221">
        <f>IF(Notes!$B$2="June",ROUND('Budget by Source'!G143/10,0)+V143,ROUND('Budget by Source'!G143/10,0))</f>
        <v>47810</v>
      </c>
      <c r="H143" s="221">
        <f>INDEX('AEA Funding and Payments'!$A$8:$T$332,MATCH('Payment by Source'!$A143,'AEA Funding and Payments'!$A$8:$A$332,0),MATCH(H$5,'AEA Funding and Payments'!$A$4:$T$4,0))</f>
        <v>24401</v>
      </c>
      <c r="I143" s="221">
        <f>IF(Notes!$B$2="June",INDEX('AEA Funding and Payments'!$A$8:$AI$332,MATCH('Payment by Source'!$A143,'AEA Funding and Payments'!$A$8:$A$332,0),34),
ROUND(INDEX('AEA Funding and Payments'!$A$8:$T$332,MATCH('Payment by Source'!$A143,'AEA Funding and Payments'!$A$8:$A$332,0),MATCH(I$5,'AEA Funding and Payments'!$A$4:$T$4,0))/10,0))</f>
        <v>3983</v>
      </c>
      <c r="J143" s="221">
        <f t="shared" si="9"/>
        <v>626039</v>
      </c>
      <c r="K143" s="221">
        <f>INDEX(Data[],MATCH($A143,Data[Dist],0),MATCH(K$5,Data[#Headers],0))</f>
        <v>858738</v>
      </c>
      <c r="M143" s="59">
        <f>INDEX('Payment Total'!$A$7:$H$331,MATCH('Payment by Source'!$A143,'Payment Total'!$A$7:$A$331,0),6)-K143</f>
        <v>0</v>
      </c>
      <c r="O143" s="263">
        <f t="shared" si="12"/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6277777</v>
      </c>
      <c r="X143" s="136">
        <f t="shared" si="10"/>
        <v>627778</v>
      </c>
      <c r="Y143" s="136">
        <f t="shared" si="11"/>
        <v>6277780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5572</v>
      </c>
      <c r="D144" s="221">
        <f>IF(Notes!$B$2="June",ROUND('Budget by Source'!D144/10,0)+S144,ROUND('Budget by Source'!D144/10,0))</f>
        <v>46678</v>
      </c>
      <c r="E144" s="221">
        <f>IF(Notes!$B$2="June",ROUND('Budget by Source'!E144/10,0)+T144,ROUND('Budget by Source'!E144/10,0))</f>
        <v>2852</v>
      </c>
      <c r="F144" s="221">
        <f>IF(Notes!$B$2="June",ROUND('Budget by Source'!F144/10,0)+U144,ROUND('Budget by Source'!F144/10,0))</f>
        <v>2487</v>
      </c>
      <c r="G144" s="221">
        <f>IF(Notes!$B$2="June",ROUND('Budget by Source'!G144/10,0)+V144,ROUND('Budget by Source'!G144/10,0))</f>
        <v>15735</v>
      </c>
      <c r="H144" s="221">
        <f>INDEX('AEA Funding and Payments'!$A$8:$T$332,MATCH('Payment by Source'!$A144,'AEA Funding and Payments'!$A$8:$A$332,0),MATCH(H$5,'AEA Funding and Payments'!$A$4:$T$4,0))</f>
        <v>8461</v>
      </c>
      <c r="I144" s="221">
        <f>IF(Notes!$B$2="June",INDEX('AEA Funding and Payments'!$A$8:$AI$332,MATCH('Payment by Source'!$A144,'AEA Funding and Payments'!$A$8:$A$332,0),34),
ROUND(INDEX('AEA Funding and Payments'!$A$8:$T$332,MATCH('Payment by Source'!$A144,'AEA Funding and Payments'!$A$8:$A$332,0),MATCH(I$5,'AEA Funding and Payments'!$A$4:$T$4,0))/10,0))</f>
        <v>1322</v>
      </c>
      <c r="J144" s="221">
        <f t="shared" si="9"/>
        <v>162432</v>
      </c>
      <c r="K144" s="221">
        <f>INDEX(Data[],MATCH($A144,Data[Dist],0),MATCH(K$5,Data[#Headers],0))</f>
        <v>245539</v>
      </c>
      <c r="M144" s="59">
        <f>INDEX('Payment Total'!$A$7:$H$331,MATCH('Payment by Source'!$A144,'Payment Total'!$A$7:$A$331,0),6)-K144</f>
        <v>0</v>
      </c>
      <c r="O144" s="263">
        <f t="shared" si="12"/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1630515</v>
      </c>
      <c r="X144" s="136">
        <f t="shared" si="10"/>
        <v>163052</v>
      </c>
      <c r="Y144" s="136">
        <f t="shared" si="11"/>
        <v>1630520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21083</v>
      </c>
      <c r="D145" s="221">
        <f>IF(Notes!$B$2="June",ROUND('Budget by Source'!D145/10,0)+S145,ROUND('Budget by Source'!D145/10,0))</f>
        <v>74656</v>
      </c>
      <c r="E145" s="221">
        <f>IF(Notes!$B$2="June",ROUND('Budget by Source'!E145/10,0)+T145,ROUND('Budget by Source'!E145/10,0))</f>
        <v>5348</v>
      </c>
      <c r="F145" s="221">
        <f>IF(Notes!$B$2="June",ROUND('Budget by Source'!F145/10,0)+U145,ROUND('Budget by Source'!F145/10,0))</f>
        <v>6498</v>
      </c>
      <c r="G145" s="221">
        <f>IF(Notes!$B$2="June",ROUND('Budget by Source'!G145/10,0)+V145,ROUND('Budget by Source'!G145/10,0))</f>
        <v>30260</v>
      </c>
      <c r="H145" s="221">
        <f>INDEX('AEA Funding and Payments'!$A$8:$T$332,MATCH('Payment by Source'!$A145,'AEA Funding and Payments'!$A$8:$A$332,0),MATCH(H$5,'AEA Funding and Payments'!$A$4:$T$4,0))</f>
        <v>16224</v>
      </c>
      <c r="I145" s="221">
        <f>IF(Notes!$B$2="June",INDEX('AEA Funding and Payments'!$A$8:$AI$332,MATCH('Payment by Source'!$A145,'AEA Funding and Payments'!$A$8:$A$332,0),34),
ROUND(INDEX('AEA Funding and Payments'!$A$8:$T$332,MATCH('Payment by Source'!$A145,'AEA Funding and Payments'!$A$8:$A$332,0),MATCH(I$5,'AEA Funding and Payments'!$A$4:$T$4,0))/10,0))</f>
        <v>2537</v>
      </c>
      <c r="J145" s="221">
        <f t="shared" si="9"/>
        <v>543011</v>
      </c>
      <c r="K145" s="221">
        <f>INDEX(Data[],MATCH($A145,Data[Dist],0),MATCH(K$5,Data[#Headers],0))</f>
        <v>699617</v>
      </c>
      <c r="M145" s="59">
        <f>INDEX('Payment Total'!$A$7:$H$331,MATCH('Payment by Source'!$A145,'Payment Total'!$A$7:$A$331,0),6)-K145</f>
        <v>0</v>
      </c>
      <c r="O145" s="263">
        <f t="shared" si="12"/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5441754</v>
      </c>
      <c r="X145" s="136">
        <f t="shared" si="10"/>
        <v>544175</v>
      </c>
      <c r="Y145" s="136">
        <f t="shared" si="11"/>
        <v>5441750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28641</v>
      </c>
      <c r="D146" s="221">
        <f>IF(Notes!$B$2="June",ROUND('Budget by Source'!D146/10,0)+S146,ROUND('Budget by Source'!D146/10,0))</f>
        <v>130146</v>
      </c>
      <c r="E146" s="221">
        <f>IF(Notes!$B$2="June",ROUND('Budget by Source'!E146/10,0)+T146,ROUND('Budget by Source'!E146/10,0))</f>
        <v>11074</v>
      </c>
      <c r="F146" s="221">
        <f>IF(Notes!$B$2="June",ROUND('Budget by Source'!F146/10,0)+U146,ROUND('Budget by Source'!F146/10,0))</f>
        <v>9999</v>
      </c>
      <c r="G146" s="221">
        <f>IF(Notes!$B$2="June",ROUND('Budget by Source'!G146/10,0)+V146,ROUND('Budget by Source'!G146/10,0))</f>
        <v>50056</v>
      </c>
      <c r="H146" s="221">
        <f>INDEX('AEA Funding and Payments'!$A$8:$T$332,MATCH('Payment by Source'!$A146,'AEA Funding and Payments'!$A$8:$A$332,0),MATCH(H$5,'AEA Funding and Payments'!$A$4:$T$4,0))</f>
        <v>25177</v>
      </c>
      <c r="I146" s="221">
        <f>IF(Notes!$B$2="June",INDEX('AEA Funding and Payments'!$A$8:$AI$332,MATCH('Payment by Source'!$A146,'AEA Funding and Payments'!$A$8:$A$332,0),34),
ROUND(INDEX('AEA Funding and Payments'!$A$8:$T$332,MATCH('Payment by Source'!$A146,'AEA Funding and Payments'!$A$8:$A$332,0),MATCH(I$5,'AEA Funding and Payments'!$A$4:$T$4,0))/10,0))</f>
        <v>4038</v>
      </c>
      <c r="J146" s="221">
        <f t="shared" si="9"/>
        <v>687416</v>
      </c>
      <c r="K146" s="221">
        <f>INDEX(Data[],MATCH($A146,Data[Dist],0),MATCH(K$5,Data[#Headers],0))</f>
        <v>946547</v>
      </c>
      <c r="M146" s="59">
        <f>INDEX('Payment Total'!$A$7:$H$331,MATCH('Payment by Source'!$A146,'Payment Total'!$A$7:$A$331,0),6)-K146</f>
        <v>0</v>
      </c>
      <c r="O146" s="263">
        <f t="shared" si="12"/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6892383</v>
      </c>
      <c r="X146" s="136">
        <f t="shared" si="10"/>
        <v>689238</v>
      </c>
      <c r="Y146" s="136">
        <f t="shared" si="11"/>
        <v>6892380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35794</v>
      </c>
      <c r="D147" s="221">
        <f>IF(Notes!$B$2="June",ROUND('Budget by Source'!D147/10,0)+S147,ROUND('Budget by Source'!D147/10,0))</f>
        <v>126776</v>
      </c>
      <c r="E147" s="221">
        <f>IF(Notes!$B$2="June",ROUND('Budget by Source'!E147/10,0)+T147,ROUND('Budget by Source'!E147/10,0))</f>
        <v>11815</v>
      </c>
      <c r="F147" s="221">
        <f>IF(Notes!$B$2="June",ROUND('Budget by Source'!F147/10,0)+U147,ROUND('Budget by Source'!F147/10,0))</f>
        <v>12223</v>
      </c>
      <c r="G147" s="221">
        <f>IF(Notes!$B$2="June",ROUND('Budget by Source'!G147/10,0)+V147,ROUND('Budget by Source'!G147/10,0))</f>
        <v>56552</v>
      </c>
      <c r="H147" s="221">
        <f>INDEX('AEA Funding and Payments'!$A$8:$T$332,MATCH('Payment by Source'!$A147,'AEA Funding and Payments'!$A$8:$A$332,0),MATCH(H$5,'AEA Funding and Payments'!$A$4:$T$4,0))</f>
        <v>28765</v>
      </c>
      <c r="I147" s="221">
        <f>IF(Notes!$B$2="June",INDEX('AEA Funding and Payments'!$A$8:$AI$332,MATCH('Payment by Source'!$A147,'AEA Funding and Payments'!$A$8:$A$332,0),34),
ROUND(INDEX('AEA Funding and Payments'!$A$8:$T$332,MATCH('Payment by Source'!$A147,'AEA Funding and Payments'!$A$8:$A$332,0),MATCH(I$5,'AEA Funding and Payments'!$A$4:$T$4,0))/10,0))</f>
        <v>4500</v>
      </c>
      <c r="J147" s="221">
        <f t="shared" si="9"/>
        <v>853602</v>
      </c>
      <c r="K147" s="221">
        <f>INDEX(Data[],MATCH($A147,Data[Dist],0),MATCH(K$5,Data[#Headers],0))</f>
        <v>1130027</v>
      </c>
      <c r="M147" s="59">
        <f>INDEX('Payment Total'!$A$7:$H$331,MATCH('Payment by Source'!$A147,'Payment Total'!$A$7:$A$331,0),6)-K147</f>
        <v>0</v>
      </c>
      <c r="O147" s="263">
        <f t="shared" si="12"/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8556739</v>
      </c>
      <c r="X147" s="136">
        <f t="shared" si="10"/>
        <v>855674</v>
      </c>
      <c r="Y147" s="136">
        <f t="shared" si="11"/>
        <v>8556740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35005</v>
      </c>
      <c r="D148" s="221">
        <f>IF(Notes!$B$2="June",ROUND('Budget by Source'!D148/10,0)+S148,ROUND('Budget by Source'!D148/10,0))</f>
        <v>266845</v>
      </c>
      <c r="E148" s="221">
        <f>IF(Notes!$B$2="June",ROUND('Budget by Source'!E148/10,0)+T148,ROUND('Budget by Source'!E148/10,0))</f>
        <v>26421</v>
      </c>
      <c r="F148" s="221">
        <f>IF(Notes!$B$2="June",ROUND('Budget by Source'!F148/10,0)+U148,ROUND('Budget by Source'!F148/10,0))</f>
        <v>27001</v>
      </c>
      <c r="G148" s="221">
        <f>IF(Notes!$B$2="June",ROUND('Budget by Source'!G148/10,0)+V148,ROUND('Budget by Source'!G148/10,0))</f>
        <v>137515</v>
      </c>
      <c r="H148" s="221">
        <f>INDEX('AEA Funding and Payments'!$A$8:$T$332,MATCH('Payment by Source'!$A148,'AEA Funding and Payments'!$A$8:$A$332,0),MATCH(H$5,'AEA Funding and Payments'!$A$4:$T$4,0))</f>
        <v>73790</v>
      </c>
      <c r="I148" s="221">
        <f>IF(Notes!$B$2="June",INDEX('AEA Funding and Payments'!$A$8:$AI$332,MATCH('Payment by Source'!$A148,'AEA Funding and Payments'!$A$8:$A$332,0),34),
ROUND(INDEX('AEA Funding and Payments'!$A$8:$T$332,MATCH('Payment by Source'!$A148,'AEA Funding and Payments'!$A$8:$A$332,0),MATCH(I$5,'AEA Funding and Payments'!$A$4:$T$4,0))/10,0))</f>
        <v>11021</v>
      </c>
      <c r="J148" s="221">
        <f t="shared" si="9"/>
        <v>2331201</v>
      </c>
      <c r="K148" s="221">
        <f>INDEX(Data[],MATCH($A148,Data[Dist],0),MATCH(K$5,Data[#Headers],0))</f>
        <v>2908799</v>
      </c>
      <c r="M148" s="59">
        <f>INDEX('Payment Total'!$A$7:$H$331,MATCH('Payment by Source'!$A148,'Payment Total'!$A$7:$A$331,0),6)-K148</f>
        <v>0</v>
      </c>
      <c r="O148" s="263">
        <f t="shared" si="12"/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23364109</v>
      </c>
      <c r="X148" s="136">
        <f t="shared" si="10"/>
        <v>2336411</v>
      </c>
      <c r="Y148" s="136">
        <f t="shared" si="11"/>
        <v>23364110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18693</v>
      </c>
      <c r="D149" s="221">
        <f>IF(Notes!$B$2="June",ROUND('Budget by Source'!D149/10,0)+S149,ROUND('Budget by Source'!D149/10,0))</f>
        <v>96101</v>
      </c>
      <c r="E149" s="221">
        <f>IF(Notes!$B$2="June",ROUND('Budget by Source'!E149/10,0)+T149,ROUND('Budget by Source'!E149/10,0))</f>
        <v>6259</v>
      </c>
      <c r="F149" s="221">
        <f>IF(Notes!$B$2="June",ROUND('Budget by Source'!F149/10,0)+U149,ROUND('Budget by Source'!F149/10,0))</f>
        <v>5529</v>
      </c>
      <c r="G149" s="221">
        <f>IF(Notes!$B$2="June",ROUND('Budget by Source'!G149/10,0)+V149,ROUND('Budget by Source'!G149/10,0))</f>
        <v>32031</v>
      </c>
      <c r="H149" s="221">
        <f>INDEX('AEA Funding and Payments'!$A$8:$T$332,MATCH('Payment by Source'!$A149,'AEA Funding and Payments'!$A$8:$A$332,0),MATCH(H$5,'AEA Funding and Payments'!$A$4:$T$4,0))</f>
        <v>17125</v>
      </c>
      <c r="I149" s="221">
        <f>IF(Notes!$B$2="June",INDEX('AEA Funding and Payments'!$A$8:$AI$332,MATCH('Payment by Source'!$A149,'AEA Funding and Payments'!$A$8:$A$332,0),34),
ROUND(INDEX('AEA Funding and Payments'!$A$8:$T$332,MATCH('Payment by Source'!$A149,'AEA Funding and Payments'!$A$8:$A$332,0),MATCH(I$5,'AEA Funding and Payments'!$A$4:$T$4,0))/10,0))</f>
        <v>2556</v>
      </c>
      <c r="J149" s="221">
        <f t="shared" si="9"/>
        <v>501639</v>
      </c>
      <c r="K149" s="221">
        <f>INDEX(Data[],MATCH($A149,Data[Dist],0),MATCH(K$5,Data[#Headers],0))</f>
        <v>679933</v>
      </c>
      <c r="M149" s="59">
        <f>INDEX('Payment Total'!$A$7:$H$331,MATCH('Payment by Source'!$A149,'Payment Total'!$A$7:$A$331,0),6)-K149</f>
        <v>0</v>
      </c>
      <c r="O149" s="263">
        <f t="shared" si="12"/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5028925</v>
      </c>
      <c r="X149" s="136">
        <f t="shared" si="10"/>
        <v>502893</v>
      </c>
      <c r="Y149" s="136">
        <f t="shared" si="11"/>
        <v>5028930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196872</v>
      </c>
      <c r="D150" s="221">
        <f>IF(Notes!$B$2="June",ROUND('Budget by Source'!D150/10,0)+S150,ROUND('Budget by Source'!D150/10,0))</f>
        <v>1117469</v>
      </c>
      <c r="E150" s="221">
        <f>IF(Notes!$B$2="June",ROUND('Budget by Source'!E150/10,0)+T150,ROUND('Budget by Source'!E150/10,0))</f>
        <v>128071</v>
      </c>
      <c r="F150" s="221">
        <f>IF(Notes!$B$2="June",ROUND('Budget by Source'!F150/10,0)+U150,ROUND('Budget by Source'!F150/10,0))</f>
        <v>123766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304596</v>
      </c>
      <c r="I150" s="221">
        <f>IF(Notes!$B$2="June",INDEX('AEA Funding and Payments'!$A$8:$AI$332,MATCH('Payment by Source'!$A150,'AEA Funding and Payments'!$A$8:$A$332,0),34),
ROUND(INDEX('AEA Funding and Payments'!$A$8:$T$332,MATCH('Payment by Source'!$A150,'AEA Funding and Payments'!$A$8:$A$332,0),MATCH(I$5,'AEA Funding and Payments'!$A$4:$T$4,0))/10,0))</f>
        <v>46837</v>
      </c>
      <c r="J150" s="221">
        <f t="shared" si="9"/>
        <v>8085758</v>
      </c>
      <c r="K150" s="221">
        <f>INDEX(Data[],MATCH($A150,Data[Dist],0),MATCH(K$5,Data[#Headers],0))</f>
        <v>10593772</v>
      </c>
      <c r="M150" s="59">
        <f>INDEX('Payment Total'!$A$7:$H$331,MATCH('Payment by Source'!$A150,'Payment Total'!$A$7:$A$331,0),6)-K150</f>
        <v>0</v>
      </c>
      <c r="O150" s="263">
        <f t="shared" si="12"/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81078677</v>
      </c>
      <c r="X150" s="136">
        <f t="shared" si="10"/>
        <v>8107868</v>
      </c>
      <c r="Y150" s="136">
        <f t="shared" si="11"/>
        <v>81078680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21874</v>
      </c>
      <c r="D151" s="221">
        <f>IF(Notes!$B$2="June",ROUND('Budget by Source'!D151/10,0)+S151,ROUND('Budget by Source'!D151/10,0))</f>
        <v>102963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7926</v>
      </c>
      <c r="G151" s="221">
        <f>IF(Notes!$B$2="June",ROUND('Budget by Source'!G151/10,0)+V151,ROUND('Budget by Source'!G151/10,0))</f>
        <v>37947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IF(Notes!$B$2="June",INDEX('AEA Funding and Payments'!$A$8:$AI$332,MATCH('Payment by Source'!$A151,'AEA Funding and Payments'!$A$8:$A$332,0),34),
ROUND(INDEX('AEA Funding and Payments'!$A$8:$T$332,MATCH('Payment by Source'!$A151,'AEA Funding and Payments'!$A$8:$A$332,0),MATCH(I$5,'AEA Funding and Payments'!$A$4:$T$4,0))/10,0))</f>
        <v>3221</v>
      </c>
      <c r="J151" s="221">
        <f t="shared" si="9"/>
        <v>568807</v>
      </c>
      <c r="K151" s="221">
        <f>INDEX(Data[],MATCH($A151,Data[Dist],0),MATCH(K$5,Data[#Headers],0))</f>
        <v>771518</v>
      </c>
      <c r="M151" s="59">
        <f>INDEX('Payment Total'!$A$7:$H$331,MATCH('Payment by Source'!$A151,'Payment Total'!$A$7:$A$331,0),6)-K151</f>
        <v>0</v>
      </c>
      <c r="O151" s="263">
        <f t="shared" si="12"/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5702718</v>
      </c>
      <c r="X151" s="136">
        <f t="shared" si="10"/>
        <v>570272</v>
      </c>
      <c r="Y151" s="136">
        <f t="shared" si="11"/>
        <v>5702720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9544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3344</v>
      </c>
      <c r="F152" s="221">
        <f>IF(Notes!$B$2="June",ROUND('Budget by Source'!F152/10,0)+U152,ROUND('Budget by Source'!F152/10,0))</f>
        <v>3797</v>
      </c>
      <c r="G152" s="221">
        <f>IF(Notes!$B$2="June",ROUND('Budget by Source'!G152/10,0)+V152,ROUND('Budget by Source'!G152/10,0))</f>
        <v>19177</v>
      </c>
      <c r="H152" s="221">
        <f>INDEX('AEA Funding and Payments'!$A$8:$T$332,MATCH('Payment by Source'!$A152,'AEA Funding and Payments'!$A$8:$A$332,0),MATCH(H$5,'AEA Funding and Payments'!$A$4:$T$4,0))</f>
        <v>10152</v>
      </c>
      <c r="I152" s="221">
        <f>IF(Notes!$B$2="June",INDEX('AEA Funding and Payments'!$A$8:$AI$332,MATCH('Payment by Source'!$A152,'AEA Funding and Payments'!$A$8:$A$332,0),34),
ROUND(INDEX('AEA Funding and Payments'!$A$8:$T$332,MATCH('Payment by Source'!$A152,'AEA Funding and Payments'!$A$8:$A$332,0),MATCH(I$5,'AEA Funding and Payments'!$A$4:$T$4,0))/10,0))</f>
        <v>1597</v>
      </c>
      <c r="J152" s="221">
        <f t="shared" si="9"/>
        <v>317440</v>
      </c>
      <c r="K152" s="221">
        <f>INDEX(Data[],MATCH($A152,Data[Dist],0),MATCH(K$5,Data[#Headers],0))</f>
        <v>416940</v>
      </c>
      <c r="M152" s="59">
        <f>INDEX('Payment Total'!$A$7:$H$331,MATCH('Payment by Source'!$A152,'Payment Total'!$A$7:$A$331,0),6)-K152</f>
        <v>0</v>
      </c>
      <c r="O152" s="263">
        <f t="shared" si="12"/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3181732</v>
      </c>
      <c r="X152" s="136">
        <f t="shared" si="10"/>
        <v>318173</v>
      </c>
      <c r="Y152" s="136">
        <f t="shared" si="11"/>
        <v>3181730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20283</v>
      </c>
      <c r="D153" s="221">
        <f>IF(Notes!$B$2="June",ROUND('Budget by Source'!D153/10,0)+S153,ROUND('Budget by Source'!D153/10,0))</f>
        <v>68239</v>
      </c>
      <c r="E153" s="221">
        <f>IF(Notes!$B$2="June",ROUND('Budget by Source'!E153/10,0)+T153,ROUND('Budget by Source'!E153/10,0))</f>
        <v>5406</v>
      </c>
      <c r="F153" s="221">
        <f>IF(Notes!$B$2="June",ROUND('Budget by Source'!F153/10,0)+U153,ROUND('Budget by Source'!F153/10,0))</f>
        <v>5832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14729</v>
      </c>
      <c r="I153" s="221">
        <f>IF(Notes!$B$2="June",INDEX('AEA Funding and Payments'!$A$8:$AI$332,MATCH('Payment by Source'!$A153,'AEA Funding and Payments'!$A$8:$A$332,0),34),
ROUND(INDEX('AEA Funding and Payments'!$A$8:$T$332,MATCH('Payment by Source'!$A153,'AEA Funding and Payments'!$A$8:$A$332,0),MATCH(I$5,'AEA Funding and Payments'!$A$4:$T$4,0))/10,0))</f>
        <v>2274</v>
      </c>
      <c r="J153" s="221">
        <f t="shared" si="9"/>
        <v>309854</v>
      </c>
      <c r="K153" s="221">
        <f>INDEX(Data[],MATCH($A153,Data[Dist],0),MATCH(K$5,Data[#Headers],0))</f>
        <v>453306</v>
      </c>
      <c r="M153" s="59">
        <f>INDEX('Payment Total'!$A$7:$H$331,MATCH('Payment by Source'!$A153,'Payment Total'!$A$7:$A$331,0),6)-K153</f>
        <v>0</v>
      </c>
      <c r="O153" s="263">
        <f t="shared" si="12"/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3108805</v>
      </c>
      <c r="X153" s="136">
        <f t="shared" si="10"/>
        <v>310881</v>
      </c>
      <c r="Y153" s="136">
        <f t="shared" si="11"/>
        <v>3108810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16706</v>
      </c>
      <c r="D154" s="221">
        <f>IF(Notes!$B$2="June",ROUND('Budget by Source'!D154/10,0)+S154,ROUND('Budget by Source'!D154/10,0))</f>
        <v>56883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3053</v>
      </c>
      <c r="G154" s="221">
        <f>IF(Notes!$B$2="June",ROUND('Budget by Source'!G154/10,0)+V154,ROUND('Budget by Source'!G154/10,0))</f>
        <v>17686</v>
      </c>
      <c r="H154" s="221">
        <f>INDEX('AEA Funding and Payments'!$A$8:$T$332,MATCH('Payment by Source'!$A154,'AEA Funding and Payments'!$A$8:$A$332,0),MATCH(H$5,'AEA Funding and Payments'!$A$4:$T$4,0))</f>
        <v>9114</v>
      </c>
      <c r="I154" s="221">
        <f>IF(Notes!$B$2="June",INDEX('AEA Funding and Payments'!$A$8:$AI$332,MATCH('Payment by Source'!$A154,'AEA Funding and Payments'!$A$8:$A$332,0),34),
ROUND(INDEX('AEA Funding and Payments'!$A$8:$T$332,MATCH('Payment by Source'!$A154,'AEA Funding and Payments'!$A$8:$A$332,0),MATCH(I$5,'AEA Funding and Payments'!$A$4:$T$4,0))/10,0))</f>
        <v>1421</v>
      </c>
      <c r="J154" s="221">
        <f t="shared" si="9"/>
        <v>267215</v>
      </c>
      <c r="K154" s="221">
        <f>INDEX(Data[],MATCH($A154,Data[Dist],0),MATCH(K$5,Data[#Headers],0))</f>
        <v>374890</v>
      </c>
      <c r="M154" s="59">
        <f>INDEX('Payment Total'!$A$7:$H$331,MATCH('Payment by Source'!$A154,'Payment Total'!$A$7:$A$331,0),6)-K154</f>
        <v>0</v>
      </c>
      <c r="O154" s="263">
        <f t="shared" si="12"/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2678803</v>
      </c>
      <c r="X154" s="136">
        <f t="shared" si="10"/>
        <v>267880</v>
      </c>
      <c r="Y154" s="136">
        <f t="shared" si="11"/>
        <v>2678800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26250</v>
      </c>
      <c r="D155" s="221">
        <f>IF(Notes!$B$2="June",ROUND('Budget by Source'!D155/10,0)+S155,ROUND('Budget by Source'!D155/10,0))</f>
        <v>107985</v>
      </c>
      <c r="E155" s="221">
        <f>IF(Notes!$B$2="June",ROUND('Budget by Source'!E155/10,0)+T155,ROUND('Budget by Source'!E155/10,0))</f>
        <v>10316</v>
      </c>
      <c r="F155" s="221">
        <f>IF(Notes!$B$2="June",ROUND('Budget by Source'!F155/10,0)+U155,ROUND('Budget by Source'!F155/10,0))</f>
        <v>9522</v>
      </c>
      <c r="G155" s="221">
        <f>IF(Notes!$B$2="June",ROUND('Budget by Source'!G155/10,0)+V155,ROUND('Budget by Source'!G155/10,0))</f>
        <v>46471</v>
      </c>
      <c r="H155" s="221">
        <f>INDEX('AEA Funding and Payments'!$A$8:$T$332,MATCH('Payment by Source'!$A155,'AEA Funding and Payments'!$A$8:$A$332,0),MATCH(H$5,'AEA Funding and Payments'!$A$4:$T$4,0))</f>
        <v>25464</v>
      </c>
      <c r="I155" s="221">
        <f>IF(Notes!$B$2="June",INDEX('AEA Funding and Payments'!$A$8:$AI$332,MATCH('Payment by Source'!$A155,'AEA Funding and Payments'!$A$8:$A$332,0),34),
ROUND(INDEX('AEA Funding and Payments'!$A$8:$T$332,MATCH('Payment by Source'!$A155,'AEA Funding and Payments'!$A$8:$A$332,0),MATCH(I$5,'AEA Funding and Payments'!$A$4:$T$4,0))/10,0))</f>
        <v>4085</v>
      </c>
      <c r="J155" s="221">
        <f t="shared" si="9"/>
        <v>636841</v>
      </c>
      <c r="K155" s="221">
        <f>INDEX(Data[],MATCH($A155,Data[Dist],0),MATCH(K$5,Data[#Headers],0))</f>
        <v>866934</v>
      </c>
      <c r="M155" s="59">
        <f>INDEX('Payment Total'!$A$7:$H$331,MATCH('Payment by Source'!$A155,'Payment Total'!$A$7:$A$331,0),6)-K155</f>
        <v>0</v>
      </c>
      <c r="O155" s="263">
        <f t="shared" si="12"/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6386597</v>
      </c>
      <c r="X155" s="136">
        <f t="shared" si="10"/>
        <v>638660</v>
      </c>
      <c r="Y155" s="136">
        <f t="shared" si="11"/>
        <v>6386600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88453</v>
      </c>
      <c r="E156" s="221">
        <f>IF(Notes!$B$2="June",ROUND('Budget by Source'!E156/10,0)+T156,ROUND('Budget by Source'!E156/10,0))</f>
        <v>7843</v>
      </c>
      <c r="F156" s="221">
        <f>IF(Notes!$B$2="June",ROUND('Budget by Source'!F156/10,0)+U156,ROUND('Budget by Source'!F156/10,0))</f>
        <v>6546</v>
      </c>
      <c r="G156" s="221">
        <f>IF(Notes!$B$2="June",ROUND('Budget by Source'!G156/10,0)+V156,ROUND('Budget by Source'!G156/10,0))</f>
        <v>36548</v>
      </c>
      <c r="H156" s="221">
        <f>INDEX('AEA Funding and Payments'!$A$8:$T$332,MATCH('Payment by Source'!$A156,'AEA Funding and Payments'!$A$8:$A$332,0),MATCH(H$5,'AEA Funding and Payments'!$A$4:$T$4,0))</f>
        <v>18208</v>
      </c>
      <c r="I156" s="221">
        <f>IF(Notes!$B$2="June",INDEX('AEA Funding and Payments'!$A$8:$AI$332,MATCH('Payment by Source'!$A156,'AEA Funding and Payments'!$A$8:$A$332,0),34),
ROUND(INDEX('AEA Funding and Payments'!$A$8:$T$332,MATCH('Payment by Source'!$A156,'AEA Funding and Payments'!$A$8:$A$332,0),MATCH(I$5,'AEA Funding and Payments'!$A$4:$T$4,0))/10,0))</f>
        <v>2851</v>
      </c>
      <c r="J156" s="221">
        <f t="shared" si="9"/>
        <v>540529</v>
      </c>
      <c r="K156" s="221">
        <f>INDEX(Data[],MATCH($A156,Data[Dist],0),MATCH(K$5,Data[#Headers],0))</f>
        <v>724047</v>
      </c>
      <c r="M156" s="59">
        <f>INDEX('Payment Total'!$A$7:$H$331,MATCH('Payment by Source'!$A156,'Payment Total'!$A$7:$A$331,0),6)-K156</f>
        <v>0</v>
      </c>
      <c r="O156" s="263">
        <f t="shared" si="12"/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5418526</v>
      </c>
      <c r="X156" s="136">
        <f t="shared" si="10"/>
        <v>541853</v>
      </c>
      <c r="Y156" s="136">
        <f t="shared" si="11"/>
        <v>5418530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78751</v>
      </c>
      <c r="D157" s="221">
        <f>IF(Notes!$B$2="June",ROUND('Budget by Source'!D157/10,0)+S157,ROUND('Budget by Source'!D157/10,0))</f>
        <v>501730</v>
      </c>
      <c r="E157" s="221">
        <f>IF(Notes!$B$2="June",ROUND('Budget by Source'!E157/10,0)+T157,ROUND('Budget by Source'!E157/10,0))</f>
        <v>50254</v>
      </c>
      <c r="F157" s="221">
        <f>IF(Notes!$B$2="June",ROUND('Budget by Source'!F157/10,0)+U157,ROUND('Budget by Source'!F157/10,0))</f>
        <v>50339</v>
      </c>
      <c r="G157" s="221">
        <f>IF(Notes!$B$2="June",ROUND('Budget by Source'!G157/10,0)+V157,ROUND('Budget by Source'!G157/10,0))</f>
        <v>270104</v>
      </c>
      <c r="H157" s="221">
        <f>INDEX('AEA Funding and Payments'!$A$8:$T$332,MATCH('Payment by Source'!$A157,'AEA Funding and Payments'!$A$8:$A$332,0),MATCH(H$5,'AEA Funding and Payments'!$A$4:$T$4,0))</f>
        <v>142302</v>
      </c>
      <c r="I157" s="221">
        <f>IF(Notes!$B$2="June",INDEX('AEA Funding and Payments'!$A$8:$AI$332,MATCH('Payment by Source'!$A157,'AEA Funding and Payments'!$A$8:$A$332,0),34),
ROUND(INDEX('AEA Funding and Payments'!$A$8:$T$332,MATCH('Payment by Source'!$A157,'AEA Funding and Payments'!$A$8:$A$332,0),MATCH(I$5,'AEA Funding and Payments'!$A$4:$T$4,0))/10,0))</f>
        <v>21258</v>
      </c>
      <c r="J157" s="221">
        <f t="shared" si="9"/>
        <v>4040505</v>
      </c>
      <c r="K157" s="221">
        <f>INDEX(Data[],MATCH($A157,Data[Dist],0),MATCH(K$5,Data[#Headers],0))</f>
        <v>5155243</v>
      </c>
      <c r="M157" s="59">
        <f>INDEX('Payment Total'!$A$7:$H$331,MATCH('Payment by Source'!$A157,'Payment Total'!$A$7:$A$331,0),6)-K157</f>
        <v>0</v>
      </c>
      <c r="O157" s="263">
        <f t="shared" si="12"/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40507441</v>
      </c>
      <c r="X157" s="136">
        <f t="shared" si="10"/>
        <v>4050744</v>
      </c>
      <c r="Y157" s="136">
        <f t="shared" si="11"/>
        <v>40507440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31418</v>
      </c>
      <c r="D158" s="221">
        <f>IF(Notes!$B$2="June",ROUND('Budget by Source'!D158/10,0)+S158,ROUND('Budget by Source'!D158/10,0))</f>
        <v>150762</v>
      </c>
      <c r="E158" s="221">
        <f>IF(Notes!$B$2="June",ROUND('Budget by Source'!E158/10,0)+T158,ROUND('Budget by Source'!E158/10,0))</f>
        <v>16183</v>
      </c>
      <c r="F158" s="221">
        <f>IF(Notes!$B$2="June",ROUND('Budget by Source'!F158/10,0)+U158,ROUND('Budget by Source'!F158/10,0))</f>
        <v>14971</v>
      </c>
      <c r="G158" s="221">
        <f>IF(Notes!$B$2="June",ROUND('Budget by Source'!G158/10,0)+V158,ROUND('Budget by Source'!G158/10,0))</f>
        <v>72524</v>
      </c>
      <c r="H158" s="221">
        <f>INDEX('AEA Funding and Payments'!$A$8:$T$332,MATCH('Payment by Source'!$A158,'AEA Funding and Payments'!$A$8:$A$332,0),MATCH(H$5,'AEA Funding and Payments'!$A$4:$T$4,0))</f>
        <v>40491</v>
      </c>
      <c r="I158" s="221">
        <f>IF(Notes!$B$2="June",INDEX('AEA Funding and Payments'!$A$8:$AI$332,MATCH('Payment by Source'!$A158,'AEA Funding and Payments'!$A$8:$A$332,0),34),
ROUND(INDEX('AEA Funding and Payments'!$A$8:$T$332,MATCH('Payment by Source'!$A158,'AEA Funding and Payments'!$A$8:$A$332,0),MATCH(I$5,'AEA Funding and Payments'!$A$4:$T$4,0))/10,0))</f>
        <v>6186</v>
      </c>
      <c r="J158" s="221">
        <f t="shared" si="9"/>
        <v>1444768</v>
      </c>
      <c r="K158" s="221">
        <f>INDEX(Data[],MATCH($A158,Data[Dist],0),MATCH(K$5,Data[#Headers],0))</f>
        <v>1777303</v>
      </c>
      <c r="M158" s="59">
        <f>INDEX('Payment Total'!$A$7:$H$331,MATCH('Payment by Source'!$A158,'Payment Total'!$A$7:$A$331,0),6)-K158</f>
        <v>0</v>
      </c>
      <c r="O158" s="263">
        <f t="shared" si="12"/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14474831</v>
      </c>
      <c r="X158" s="136">
        <f t="shared" si="10"/>
        <v>1447483</v>
      </c>
      <c r="Y158" s="136">
        <f t="shared" si="11"/>
        <v>14474830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5167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2469</v>
      </c>
      <c r="F159" s="221">
        <f>IF(Notes!$B$2="June",ROUND('Budget by Source'!F159/10,0)+U159,ROUND('Budget by Source'!F159/10,0))</f>
        <v>2622</v>
      </c>
      <c r="G159" s="221">
        <f>IF(Notes!$B$2="June",ROUND('Budget by Source'!G159/10,0)+V159,ROUND('Budget by Source'!G159/10,0))</f>
        <v>13120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IF(Notes!$B$2="June",INDEX('AEA Funding and Payments'!$A$8:$AI$332,MATCH('Payment by Source'!$A159,'AEA Funding and Payments'!$A$8:$A$332,0),34),
ROUND(INDEX('AEA Funding and Payments'!$A$8:$T$332,MATCH('Payment by Source'!$A159,'AEA Funding and Payments'!$A$8:$A$332,0),MATCH(I$5,'AEA Funding and Payments'!$A$4:$T$4,0))/10,0))</f>
        <v>1117</v>
      </c>
      <c r="J159" s="221">
        <f t="shared" si="9"/>
        <v>159699</v>
      </c>
      <c r="K159" s="221">
        <f>INDEX(Data[],MATCH($A159,Data[Dist],0),MATCH(K$5,Data[#Headers],0))</f>
        <v>251643</v>
      </c>
      <c r="M159" s="59">
        <f>INDEX('Payment Total'!$A$7:$H$331,MATCH('Payment by Source'!$A159,'Payment Total'!$A$7:$A$331,0),6)-K159</f>
        <v>0</v>
      </c>
      <c r="O159" s="263">
        <f t="shared" si="12"/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1601892</v>
      </c>
      <c r="X159" s="136">
        <f t="shared" si="10"/>
        <v>160189</v>
      </c>
      <c r="Y159" s="136">
        <f t="shared" si="11"/>
        <v>1601890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53239</v>
      </c>
      <c r="E160" s="221">
        <f>IF(Notes!$B$2="June",ROUND('Budget by Source'!E160/10,0)+T160,ROUND('Budget by Source'!E160/10,0))</f>
        <v>4254</v>
      </c>
      <c r="F160" s="221">
        <f>IF(Notes!$B$2="June",ROUND('Budget by Source'!F160/10,0)+U160,ROUND('Budget by Source'!F160/10,0))</f>
        <v>3902</v>
      </c>
      <c r="G160" s="221">
        <f>IF(Notes!$B$2="June",ROUND('Budget by Source'!G160/10,0)+V160,ROUND('Budget by Source'!G160/10,0))</f>
        <v>17964</v>
      </c>
      <c r="H160" s="221">
        <f>INDEX('AEA Funding and Payments'!$A$8:$T$332,MATCH('Payment by Source'!$A160,'AEA Funding and Payments'!$A$8:$A$332,0),MATCH(H$5,'AEA Funding and Payments'!$A$4:$T$4,0))</f>
        <v>10193</v>
      </c>
      <c r="I160" s="221">
        <f>IF(Notes!$B$2="June",INDEX('AEA Funding and Payments'!$A$8:$AI$332,MATCH('Payment by Source'!$A160,'AEA Funding and Payments'!$A$8:$A$332,0),34),
ROUND(INDEX('AEA Funding and Payments'!$A$8:$T$332,MATCH('Payment by Source'!$A160,'AEA Funding and Payments'!$A$8:$A$332,0),MATCH(I$5,'AEA Funding and Payments'!$A$4:$T$4,0))/10,0))</f>
        <v>1614</v>
      </c>
      <c r="J160" s="221">
        <f t="shared" si="9"/>
        <v>276198</v>
      </c>
      <c r="K160" s="221">
        <f>INDEX(Data[],MATCH($A160,Data[Dist],0),MATCH(K$5,Data[#Headers],0))</f>
        <v>367364</v>
      </c>
      <c r="M160" s="59">
        <f>INDEX('Payment Total'!$A$7:$H$331,MATCH('Payment by Source'!$A160,'Payment Total'!$A$7:$A$331,0),6)-K160</f>
        <v>0</v>
      </c>
      <c r="O160" s="263">
        <f t="shared" si="12"/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2769069</v>
      </c>
      <c r="X160" s="136">
        <f t="shared" si="10"/>
        <v>276907</v>
      </c>
      <c r="Y160" s="136">
        <f t="shared" si="11"/>
        <v>2769070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32613</v>
      </c>
      <c r="D161" s="221">
        <f>IF(Notes!$B$2="June",ROUND('Budget by Source'!D161/10,0)+S161,ROUND('Budget by Source'!D161/10,0))</f>
        <v>143521</v>
      </c>
      <c r="E161" s="221">
        <f>IF(Notes!$B$2="June",ROUND('Budget by Source'!E161/10,0)+T161,ROUND('Budget by Source'!E161/10,0))</f>
        <v>14164</v>
      </c>
      <c r="F161" s="221">
        <f>IF(Notes!$B$2="June",ROUND('Budget by Source'!F161/10,0)+U161,ROUND('Budget by Source'!F161/10,0))</f>
        <v>12844</v>
      </c>
      <c r="G161" s="221">
        <f>IF(Notes!$B$2="June",ROUND('Budget by Source'!G161/10,0)+V161,ROUND('Budget by Source'!G161/10,0))</f>
        <v>66667</v>
      </c>
      <c r="H161" s="221">
        <f>INDEX('AEA Funding and Payments'!$A$8:$T$332,MATCH('Payment by Source'!$A161,'AEA Funding and Payments'!$A$8:$A$332,0),MATCH(H$5,'AEA Funding and Payments'!$A$4:$T$4,0))</f>
        <v>37133</v>
      </c>
      <c r="I161" s="221">
        <f>IF(Notes!$B$2="June",INDEX('AEA Funding and Payments'!$A$8:$AI$332,MATCH('Payment by Source'!$A161,'AEA Funding and Payments'!$A$8:$A$332,0),34),
ROUND(INDEX('AEA Funding and Payments'!$A$8:$T$332,MATCH('Payment by Source'!$A161,'AEA Funding and Payments'!$A$8:$A$332,0),MATCH(I$5,'AEA Funding and Payments'!$A$4:$T$4,0))/10,0))</f>
        <v>5547</v>
      </c>
      <c r="J161" s="221">
        <f t="shared" si="9"/>
        <v>1178401</v>
      </c>
      <c r="K161" s="221">
        <f>INDEX(Data[],MATCH($A161,Data[Dist],0),MATCH(K$5,Data[#Headers],0))</f>
        <v>1490890</v>
      </c>
      <c r="M161" s="59">
        <f>INDEX('Payment Total'!$A$7:$H$331,MATCH('Payment by Source'!$A161,'Payment Total'!$A$7:$A$331,0),6)-K161</f>
        <v>0</v>
      </c>
      <c r="O161" s="263">
        <f t="shared" si="12"/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11810096</v>
      </c>
      <c r="X161" s="136">
        <f t="shared" si="10"/>
        <v>1181010</v>
      </c>
      <c r="Y161" s="136">
        <f t="shared" si="11"/>
        <v>11810100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11135</v>
      </c>
      <c r="D162" s="221">
        <f>IF(Notes!$B$2="June",ROUND('Budget by Source'!D162/10,0)+S162,ROUND('Budget by Source'!D162/10,0))</f>
        <v>56553</v>
      </c>
      <c r="E162" s="221">
        <f>IF(Notes!$B$2="June",ROUND('Budget by Source'!E162/10,0)+T162,ROUND('Budget by Source'!E162/10,0))</f>
        <v>4742</v>
      </c>
      <c r="F162" s="221">
        <f>IF(Notes!$B$2="June",ROUND('Budget by Source'!F162/10,0)+U162,ROUND('Budget by Source'!F162/10,0))</f>
        <v>4171</v>
      </c>
      <c r="G162" s="221">
        <f>IF(Notes!$B$2="June",ROUND('Budget by Source'!G162/10,0)+V162,ROUND('Budget by Source'!G162/10,0))</f>
        <v>21377</v>
      </c>
      <c r="H162" s="221">
        <f>INDEX('AEA Funding and Payments'!$A$8:$T$332,MATCH('Payment by Source'!$A162,'AEA Funding and Payments'!$A$8:$A$332,0),MATCH(H$5,'AEA Funding and Payments'!$A$4:$T$4,0))</f>
        <v>11853</v>
      </c>
      <c r="I162" s="221">
        <f>IF(Notes!$B$2="June",INDEX('AEA Funding and Payments'!$A$8:$AI$332,MATCH('Payment by Source'!$A162,'AEA Funding and Payments'!$A$8:$A$332,0),34),
ROUND(INDEX('AEA Funding and Payments'!$A$8:$T$332,MATCH('Payment by Source'!$A162,'AEA Funding and Payments'!$A$8:$A$332,0),MATCH(I$5,'AEA Funding and Payments'!$A$4:$T$4,0))/10,0))</f>
        <v>1857</v>
      </c>
      <c r="J162" s="221">
        <f t="shared" si="9"/>
        <v>287457</v>
      </c>
      <c r="K162" s="221">
        <f>INDEX(Data[],MATCH($A162,Data[Dist],0),MATCH(K$5,Data[#Headers],0))</f>
        <v>399145</v>
      </c>
      <c r="M162" s="59">
        <f>INDEX('Payment Total'!$A$7:$H$331,MATCH('Payment by Source'!$A162,'Payment Total'!$A$7:$A$331,0),6)-K162</f>
        <v>0</v>
      </c>
      <c r="O162" s="263">
        <f t="shared" si="12"/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2883035</v>
      </c>
      <c r="X162" s="136">
        <f t="shared" si="10"/>
        <v>288304</v>
      </c>
      <c r="Y162" s="136">
        <f t="shared" si="11"/>
        <v>2883040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5967</v>
      </c>
      <c r="D163" s="221">
        <f>IF(Notes!$B$2="June",ROUND('Budget by Source'!D163/10,0)+S163,ROUND('Budget by Source'!D163/10,0))</f>
        <v>41824</v>
      </c>
      <c r="E163" s="221">
        <f>IF(Notes!$B$2="June",ROUND('Budget by Source'!E163/10,0)+T163,ROUND('Budget by Source'!E163/10,0))</f>
        <v>2529</v>
      </c>
      <c r="F163" s="221">
        <f>IF(Notes!$B$2="June",ROUND('Budget by Source'!F163/10,0)+U163,ROUND('Budget by Source'!F163/10,0))</f>
        <v>2486</v>
      </c>
      <c r="G163" s="221">
        <f>IF(Notes!$B$2="June",ROUND('Budget by Source'!G163/10,0)+V163,ROUND('Budget by Source'!G163/10,0))</f>
        <v>11538</v>
      </c>
      <c r="H163" s="221">
        <f>INDEX('AEA Funding and Payments'!$A$8:$T$332,MATCH('Payment by Source'!$A163,'AEA Funding and Payments'!$A$8:$A$332,0),MATCH(H$5,'AEA Funding and Payments'!$A$4:$T$4,0))</f>
        <v>6217</v>
      </c>
      <c r="I163" s="221">
        <f>IF(Notes!$B$2="June",INDEX('AEA Funding and Payments'!$A$8:$AI$332,MATCH('Payment by Source'!$A163,'AEA Funding and Payments'!$A$8:$A$332,0),34),
ROUND(INDEX('AEA Funding and Payments'!$A$8:$T$332,MATCH('Payment by Source'!$A163,'AEA Funding and Payments'!$A$8:$A$332,0),MATCH(I$5,'AEA Funding and Payments'!$A$4:$T$4,0))/10,0))</f>
        <v>1108</v>
      </c>
      <c r="J163" s="221">
        <f t="shared" si="9"/>
        <v>217719</v>
      </c>
      <c r="K163" s="221">
        <f>INDEX(Data[],MATCH($A163,Data[Dist],0),MATCH(K$5,Data[#Headers],0))</f>
        <v>289388</v>
      </c>
      <c r="M163" s="59">
        <f>INDEX('Payment Total'!$A$7:$H$331,MATCH('Payment by Source'!$A163,'Payment Total'!$A$7:$A$331,0),6)-K163</f>
        <v>0</v>
      </c>
      <c r="O163" s="263">
        <f t="shared" si="12"/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2181602</v>
      </c>
      <c r="X163" s="136">
        <f t="shared" si="10"/>
        <v>218160</v>
      </c>
      <c r="Y163" s="136">
        <f t="shared" si="11"/>
        <v>2181600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6363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2514</v>
      </c>
      <c r="F164" s="221">
        <f>IF(Notes!$B$2="June",ROUND('Budget by Source'!F164/10,0)+U164,ROUND('Budget by Source'!F164/10,0))</f>
        <v>2616</v>
      </c>
      <c r="G164" s="221">
        <f>IF(Notes!$B$2="June",ROUND('Budget by Source'!G164/10,0)+V164,ROUND('Budget by Source'!G164/10,0))</f>
        <v>12211</v>
      </c>
      <c r="H164" s="221">
        <f>INDEX('AEA Funding and Payments'!$A$8:$T$332,MATCH('Payment by Source'!$A164,'AEA Funding and Payments'!$A$8:$A$332,0),MATCH(H$5,'AEA Funding and Payments'!$A$4:$T$4,0))</f>
        <v>6731</v>
      </c>
      <c r="I164" s="221">
        <f>IF(Notes!$B$2="June",INDEX('AEA Funding and Payments'!$A$8:$AI$332,MATCH('Payment by Source'!$A164,'AEA Funding and Payments'!$A$8:$A$332,0),34),
ROUND(INDEX('AEA Funding and Payments'!$A$8:$T$332,MATCH('Payment by Source'!$A164,'AEA Funding and Payments'!$A$8:$A$332,0),MATCH(I$5,'AEA Funding and Payments'!$A$4:$T$4,0))/10,0))</f>
        <v>1123</v>
      </c>
      <c r="J164" s="221">
        <f t="shared" si="9"/>
        <v>172171</v>
      </c>
      <c r="K164" s="221">
        <f>INDEX(Data[],MATCH($A164,Data[Dist],0),MATCH(K$5,Data[#Headers],0))</f>
        <v>243366</v>
      </c>
      <c r="M164" s="59">
        <f>INDEX('Payment Total'!$A$7:$H$331,MATCH('Payment by Source'!$A164,'Payment Total'!$A$7:$A$331,0),6)-K164</f>
        <v>0</v>
      </c>
      <c r="O164" s="263">
        <f t="shared" si="12"/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1726486</v>
      </c>
      <c r="X164" s="136">
        <f t="shared" si="10"/>
        <v>172649</v>
      </c>
      <c r="Y164" s="136">
        <f t="shared" si="11"/>
        <v>1726490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12725</v>
      </c>
      <c r="D165" s="221">
        <f>IF(Notes!$B$2="June",ROUND('Budget by Source'!D165/10,0)+S165,ROUND('Budget by Source'!D165/10,0))</f>
        <v>62248</v>
      </c>
      <c r="E165" s="221">
        <f>IF(Notes!$B$2="June",ROUND('Budget by Source'!E165/10,0)+T165,ROUND('Budget by Source'!E165/10,0))</f>
        <v>4394</v>
      </c>
      <c r="F165" s="221">
        <f>IF(Notes!$B$2="June",ROUND('Budget by Source'!F165/10,0)+U165,ROUND('Budget by Source'!F165/10,0))</f>
        <v>4466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12495</v>
      </c>
      <c r="I165" s="221">
        <f>IF(Notes!$B$2="June",INDEX('AEA Funding and Payments'!$A$8:$AI$332,MATCH('Payment by Source'!$A165,'AEA Funding and Payments'!$A$8:$A$332,0),34),
ROUND(INDEX('AEA Funding and Payments'!$A$8:$T$332,MATCH('Payment by Source'!$A165,'AEA Funding and Payments'!$A$8:$A$332,0),MATCH(I$5,'AEA Funding and Payments'!$A$4:$T$4,0))/10,0))</f>
        <v>1978</v>
      </c>
      <c r="J165" s="221">
        <f t="shared" si="9"/>
        <v>337489</v>
      </c>
      <c r="K165" s="221">
        <f>INDEX(Data[],MATCH($A165,Data[Dist],0),MATCH(K$5,Data[#Headers],0))</f>
        <v>459579</v>
      </c>
      <c r="M165" s="59">
        <f>INDEX('Payment Total'!$A$7:$H$331,MATCH('Payment by Source'!$A165,'Payment Total'!$A$7:$A$331,0),6)-K165</f>
        <v>0</v>
      </c>
      <c r="O165" s="263">
        <f t="shared" si="12"/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3383940</v>
      </c>
      <c r="X165" s="136">
        <f t="shared" si="10"/>
        <v>338394</v>
      </c>
      <c r="Y165" s="136">
        <f t="shared" si="11"/>
        <v>3383940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8349</v>
      </c>
      <c r="D166" s="221">
        <f>IF(Notes!$B$2="June",ROUND('Budget by Source'!D166/10,0)+S166,ROUND('Budget by Source'!D166/10,0))</f>
        <v>71068</v>
      </c>
      <c r="E166" s="221">
        <f>IF(Notes!$B$2="June",ROUND('Budget by Source'!E166/10,0)+T166,ROUND('Budget by Source'!E166/10,0))</f>
        <v>4317</v>
      </c>
      <c r="F166" s="221">
        <f>IF(Notes!$B$2="June",ROUND('Budget by Source'!F166/10,0)+U166,ROUND('Budget by Source'!F166/10,0))</f>
        <v>4243</v>
      </c>
      <c r="G166" s="221">
        <f>IF(Notes!$B$2="June",ROUND('Budget by Source'!G166/10,0)+V166,ROUND('Budget by Source'!G166/10,0))</f>
        <v>19584</v>
      </c>
      <c r="H166" s="221">
        <f>INDEX('AEA Funding and Payments'!$A$8:$T$332,MATCH('Payment by Source'!$A166,'AEA Funding and Payments'!$A$8:$A$332,0),MATCH(H$5,'AEA Funding and Payments'!$A$4:$T$4,0))</f>
        <v>10488</v>
      </c>
      <c r="I166" s="221">
        <f>IF(Notes!$B$2="June",INDEX('AEA Funding and Payments'!$A$8:$AI$332,MATCH('Payment by Source'!$A166,'AEA Funding and Payments'!$A$8:$A$332,0),34),
ROUND(INDEX('AEA Funding and Payments'!$A$8:$T$332,MATCH('Payment by Source'!$A166,'AEA Funding and Payments'!$A$8:$A$332,0),MATCH(I$5,'AEA Funding and Payments'!$A$4:$T$4,0))/10,0))</f>
        <v>1817</v>
      </c>
      <c r="J166" s="221">
        <f t="shared" si="9"/>
        <v>228743</v>
      </c>
      <c r="K166" s="221">
        <f>INDEX(Data[],MATCH($A166,Data[Dist],0),MATCH(K$5,Data[#Headers],0))</f>
        <v>348609</v>
      </c>
      <c r="M166" s="59">
        <f>INDEX('Payment Total'!$A$7:$H$331,MATCH('Payment by Source'!$A166,'Payment Total'!$A$7:$A$331,0),6)-K166</f>
        <v>0</v>
      </c>
      <c r="O166" s="263">
        <f t="shared" si="12"/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2408174</v>
      </c>
      <c r="X166" s="136">
        <f t="shared" si="10"/>
        <v>240817</v>
      </c>
      <c r="Y166" s="136">
        <f t="shared" si="11"/>
        <v>2408170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46929</v>
      </c>
      <c r="D167" s="221">
        <f>IF(Notes!$B$2="June",ROUND('Budget by Source'!D167/10,0)+S167,ROUND('Budget by Source'!D167/10,0))</f>
        <v>186667</v>
      </c>
      <c r="E167" s="221">
        <f>IF(Notes!$B$2="June",ROUND('Budget by Source'!E167/10,0)+T167,ROUND('Budget by Source'!E167/10,0))</f>
        <v>18591</v>
      </c>
      <c r="F167" s="221">
        <f>IF(Notes!$B$2="June",ROUND('Budget by Source'!F167/10,0)+U167,ROUND('Budget by Source'!F167/10,0))</f>
        <v>19252</v>
      </c>
      <c r="G167" s="221">
        <f>IF(Notes!$B$2="June",ROUND('Budget by Source'!G167/10,0)+V167,ROUND('Budget by Source'!G167/10,0))</f>
        <v>96703</v>
      </c>
      <c r="H167" s="221">
        <f>INDEX('AEA Funding and Payments'!$A$8:$T$332,MATCH('Payment by Source'!$A167,'AEA Funding and Payments'!$A$8:$A$332,0),MATCH(H$5,'AEA Funding and Payments'!$A$4:$T$4,0))</f>
        <v>46499</v>
      </c>
      <c r="I167" s="221">
        <f>IF(Notes!$B$2="June",INDEX('AEA Funding and Payments'!$A$8:$AI$332,MATCH('Payment by Source'!$A167,'AEA Funding and Payments'!$A$8:$A$332,0),34),
ROUND(INDEX('AEA Funding and Payments'!$A$8:$T$332,MATCH('Payment by Source'!$A167,'AEA Funding and Payments'!$A$8:$A$332,0),MATCH(I$5,'AEA Funding and Payments'!$A$4:$T$4,0))/10,0))</f>
        <v>7364</v>
      </c>
      <c r="J167" s="221">
        <f t="shared" si="9"/>
        <v>1198402</v>
      </c>
      <c r="K167" s="221">
        <f>INDEX(Data[],MATCH($A167,Data[Dist],0),MATCH(K$5,Data[#Headers],0))</f>
        <v>1620407</v>
      </c>
      <c r="M167" s="59">
        <f>INDEX('Payment Total'!$A$7:$H$331,MATCH('Payment by Source'!$A167,'Payment Total'!$A$7:$A$331,0),6)-K167</f>
        <v>0</v>
      </c>
      <c r="O167" s="263">
        <f t="shared" si="12"/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12016723</v>
      </c>
      <c r="X167" s="136">
        <f t="shared" si="10"/>
        <v>1201672</v>
      </c>
      <c r="Y167" s="136">
        <f t="shared" si="11"/>
        <v>12016720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7558</v>
      </c>
      <c r="D168" s="221">
        <f>IF(Notes!$B$2="June",ROUND('Budget by Source'!D168/10,0)+S168,ROUND('Budget by Source'!D168/10,0))</f>
        <v>59059</v>
      </c>
      <c r="E168" s="221">
        <f>IF(Notes!$B$2="June",ROUND('Budget by Source'!E168/10,0)+T168,ROUND('Budget by Source'!E168/10,0))</f>
        <v>4430</v>
      </c>
      <c r="F168" s="221">
        <f>IF(Notes!$B$2="June",ROUND('Budget by Source'!F168/10,0)+U168,ROUND('Budget by Source'!F168/10,0))</f>
        <v>3887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9348</v>
      </c>
      <c r="I168" s="221">
        <f>IF(Notes!$B$2="June",INDEX('AEA Funding and Payments'!$A$8:$AI$332,MATCH('Payment by Source'!$A168,'AEA Funding and Payments'!$A$8:$A$332,0),34),
ROUND(INDEX('AEA Funding and Payments'!$A$8:$T$332,MATCH('Payment by Source'!$A168,'AEA Funding and Payments'!$A$8:$A$332,0),MATCH(I$5,'AEA Funding and Payments'!$A$4:$T$4,0))/10,0))</f>
        <v>1448</v>
      </c>
      <c r="J168" s="221">
        <f t="shared" si="9"/>
        <v>272398</v>
      </c>
      <c r="K168" s="221">
        <f>INDEX(Data[],MATCH($A168,Data[Dist],0),MATCH(K$5,Data[#Headers],0))</f>
        <v>375597</v>
      </c>
      <c r="M168" s="59">
        <f>INDEX('Payment Total'!$A$7:$H$331,MATCH('Payment by Source'!$A168,'Payment Total'!$A$7:$A$331,0),6)-K168</f>
        <v>0</v>
      </c>
      <c r="O168" s="263">
        <f t="shared" si="12"/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2730771</v>
      </c>
      <c r="X168" s="136">
        <f t="shared" si="10"/>
        <v>273077</v>
      </c>
      <c r="Y168" s="136">
        <f t="shared" si="11"/>
        <v>2730770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30627</v>
      </c>
      <c r="D169" s="221">
        <f>IF(Notes!$B$2="June",ROUND('Budget by Source'!D169/10,0)+S169,ROUND('Budget by Source'!D169/10,0))</f>
        <v>210131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106971</v>
      </c>
      <c r="H169" s="221">
        <f>INDEX('AEA Funding and Payments'!$A$8:$T$332,MATCH('Payment by Source'!$A169,'AEA Funding and Payments'!$A$8:$A$332,0),MATCH(H$5,'AEA Funding and Payments'!$A$4:$T$4,0))</f>
        <v>56916</v>
      </c>
      <c r="I169" s="221">
        <f>IF(Notes!$B$2="June",INDEX('AEA Funding and Payments'!$A$8:$AI$332,MATCH('Payment by Source'!$A169,'AEA Funding and Payments'!$A$8:$A$332,0),34),
ROUND(INDEX('AEA Funding and Payments'!$A$8:$T$332,MATCH('Payment by Source'!$A169,'AEA Funding and Payments'!$A$8:$A$332,0),MATCH(I$5,'AEA Funding and Payments'!$A$4:$T$4,0))/10,0))</f>
        <v>8786</v>
      </c>
      <c r="J169" s="221">
        <f t="shared" si="9"/>
        <v>1178178</v>
      </c>
      <c r="K169" s="221">
        <f>INDEX(Data[],MATCH($A169,Data[Dist],0),MATCH(K$5,Data[#Headers],0))</f>
        <v>1640085</v>
      </c>
      <c r="M169" s="59">
        <f>INDEX('Payment Total'!$A$7:$H$331,MATCH('Payment by Source'!$A169,'Payment Total'!$A$7:$A$331,0),6)-K169</f>
        <v>0</v>
      </c>
      <c r="O169" s="263">
        <f t="shared" si="12"/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11821471</v>
      </c>
      <c r="X169" s="136">
        <f t="shared" si="10"/>
        <v>1182147</v>
      </c>
      <c r="Y169" s="136">
        <f t="shared" si="11"/>
        <v>11821470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10345</v>
      </c>
      <c r="D170" s="221">
        <f>IF(Notes!$B$2="June",ROUND('Budget by Source'!D170/10,0)+S170,ROUND('Budget by Source'!D170/10,0))</f>
        <v>104896</v>
      </c>
      <c r="E170" s="221">
        <f>IF(Notes!$B$2="June",ROUND('Budget by Source'!E170/10,0)+T170,ROUND('Budget by Source'!E170/10,0))</f>
        <v>5185</v>
      </c>
      <c r="F170" s="221">
        <f>IF(Notes!$B$2="June",ROUND('Budget by Source'!F170/10,0)+U170,ROUND('Budget by Source'!F170/10,0))</f>
        <v>5215</v>
      </c>
      <c r="G170" s="221">
        <f>IF(Notes!$B$2="June",ROUND('Budget by Source'!G170/10,0)+V170,ROUND('Budget by Source'!G170/10,0))</f>
        <v>27238</v>
      </c>
      <c r="H170" s="221">
        <f>INDEX('AEA Funding and Payments'!$A$8:$T$332,MATCH('Payment by Source'!$A170,'AEA Funding and Payments'!$A$8:$A$332,0),MATCH(H$5,'AEA Funding and Payments'!$A$4:$T$4,0))</f>
        <v>15344</v>
      </c>
      <c r="I170" s="221">
        <f>IF(Notes!$B$2="June",INDEX('AEA Funding and Payments'!$A$8:$AI$332,MATCH('Payment by Source'!$A170,'AEA Funding and Payments'!$A$8:$A$332,0),34),
ROUND(INDEX('AEA Funding and Payments'!$A$8:$T$332,MATCH('Payment by Source'!$A170,'AEA Funding and Payments'!$A$8:$A$332,0),MATCH(I$5,'AEA Funding and Payments'!$A$4:$T$4,0))/10,0))</f>
        <v>2360</v>
      </c>
      <c r="J170" s="221">
        <f t="shared" si="9"/>
        <v>383005</v>
      </c>
      <c r="K170" s="221">
        <f>INDEX(Data[],MATCH($A170,Data[Dist],0),MATCH(K$5,Data[#Headers],0))</f>
        <v>553588</v>
      </c>
      <c r="M170" s="59">
        <f>INDEX('Payment Total'!$A$7:$H$331,MATCH('Payment by Source'!$A170,'Payment Total'!$A$7:$A$331,0),6)-K170</f>
        <v>0</v>
      </c>
      <c r="O170" s="263">
        <f t="shared" si="12"/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3840795</v>
      </c>
      <c r="X170" s="136">
        <f t="shared" si="10"/>
        <v>384080</v>
      </c>
      <c r="Y170" s="136">
        <f t="shared" si="11"/>
        <v>3840800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92682</v>
      </c>
      <c r="D171" s="221">
        <f>IF(Notes!$B$2="June",ROUND('Budget by Source'!D171/10,0)+S171,ROUND('Budget by Source'!D171/10,0))</f>
        <v>575636</v>
      </c>
      <c r="E171" s="221">
        <f>IF(Notes!$B$2="June",ROUND('Budget by Source'!E171/10,0)+T171,ROUND('Budget by Source'!E171/10,0))</f>
        <v>57564</v>
      </c>
      <c r="F171" s="221">
        <f>IF(Notes!$B$2="June",ROUND('Budget by Source'!F171/10,0)+U171,ROUND('Budget by Source'!F171/10,0))</f>
        <v>57411</v>
      </c>
      <c r="G171" s="221">
        <f>IF(Notes!$B$2="June",ROUND('Budget by Source'!G171/10,0)+V171,ROUND('Budget by Source'!G171/10,0))</f>
        <v>305174</v>
      </c>
      <c r="H171" s="221">
        <f>INDEX('AEA Funding and Payments'!$A$8:$T$332,MATCH('Payment by Source'!$A171,'AEA Funding and Payments'!$A$8:$A$332,0),MATCH(H$5,'AEA Funding and Payments'!$A$4:$T$4,0))</f>
        <v>156249</v>
      </c>
      <c r="I171" s="221">
        <f>IF(Notes!$B$2="June",INDEX('AEA Funding and Payments'!$A$8:$AI$332,MATCH('Payment by Source'!$A171,'AEA Funding and Payments'!$A$8:$A$332,0),34),
ROUND(INDEX('AEA Funding and Payments'!$A$8:$T$332,MATCH('Payment by Source'!$A171,'AEA Funding and Payments'!$A$8:$A$332,0),MATCH(I$5,'AEA Funding and Payments'!$A$4:$T$4,0))/10,0))</f>
        <v>24025</v>
      </c>
      <c r="J171" s="221">
        <f t="shared" si="9"/>
        <v>4733100</v>
      </c>
      <c r="K171" s="221">
        <f>INDEX(Data[],MATCH($A171,Data[Dist],0),MATCH(K$5,Data[#Headers],0))</f>
        <v>6001841</v>
      </c>
      <c r="M171" s="59">
        <f>INDEX('Payment Total'!$A$7:$H$331,MATCH('Payment by Source'!$A171,'Payment Total'!$A$7:$A$331,0),6)-K171</f>
        <v>0</v>
      </c>
      <c r="O171" s="263">
        <f t="shared" si="12"/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47444847</v>
      </c>
      <c r="X171" s="136">
        <f t="shared" si="10"/>
        <v>4744485</v>
      </c>
      <c r="Y171" s="136">
        <f t="shared" si="11"/>
        <v>47444850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24264</v>
      </c>
      <c r="D172" s="221">
        <f>IF(Notes!$B$2="June",ROUND('Budget by Source'!D172/10,0)+S172,ROUND('Budget by Source'!D172/10,0))</f>
        <v>81025</v>
      </c>
      <c r="E172" s="221">
        <f>IF(Notes!$B$2="June",ROUND('Budget by Source'!E172/10,0)+T172,ROUND('Budget by Source'!E172/10,0))</f>
        <v>4514</v>
      </c>
      <c r="F172" s="221">
        <f>IF(Notes!$B$2="June",ROUND('Budget by Source'!F172/10,0)+U172,ROUND('Budget by Source'!F172/10,0))</f>
        <v>4500</v>
      </c>
      <c r="G172" s="221">
        <f>IF(Notes!$B$2="June",ROUND('Budget by Source'!G172/10,0)+V172,ROUND('Budget by Source'!G172/10,0))</f>
        <v>26216</v>
      </c>
      <c r="H172" s="221">
        <f>INDEX('AEA Funding and Payments'!$A$8:$T$332,MATCH('Payment by Source'!$A172,'AEA Funding and Payments'!$A$8:$A$332,0),MATCH(H$5,'AEA Funding and Payments'!$A$4:$T$4,0))</f>
        <v>14181</v>
      </c>
      <c r="I172" s="221">
        <f>IF(Notes!$B$2="June",INDEX('AEA Funding and Payments'!$A$8:$AI$332,MATCH('Payment by Source'!$A172,'AEA Funding and Payments'!$A$8:$A$332,0),34),
ROUND(INDEX('AEA Funding and Payments'!$A$8:$T$332,MATCH('Payment by Source'!$A172,'AEA Funding and Payments'!$A$8:$A$332,0),MATCH(I$5,'AEA Funding and Payments'!$A$4:$T$4,0))/10,0))</f>
        <v>2184</v>
      </c>
      <c r="J172" s="221">
        <f t="shared" si="9"/>
        <v>454458</v>
      </c>
      <c r="K172" s="221">
        <f>INDEX(Data[],MATCH($A172,Data[Dist],0),MATCH(K$5,Data[#Headers],0))</f>
        <v>611342</v>
      </c>
      <c r="M172" s="59">
        <f>INDEX('Payment Total'!$A$7:$H$331,MATCH('Payment by Source'!$A172,'Payment Total'!$A$7:$A$331,0),6)-K172</f>
        <v>0</v>
      </c>
      <c r="O172" s="263">
        <f t="shared" si="12"/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4608798</v>
      </c>
      <c r="X172" s="136">
        <f t="shared" si="10"/>
        <v>460880</v>
      </c>
      <c r="Y172" s="136">
        <f t="shared" si="11"/>
        <v>4608800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4649</v>
      </c>
      <c r="F173" s="221">
        <f>IF(Notes!$B$2="June",ROUND('Budget by Source'!F173/10,0)+U173,ROUND('Budget by Source'!F173/10,0))</f>
        <v>4527</v>
      </c>
      <c r="G173" s="221">
        <f>IF(Notes!$B$2="June",ROUND('Budget by Source'!G173/10,0)+V173,ROUND('Budget by Source'!G173/10,0))</f>
        <v>22656</v>
      </c>
      <c r="H173" s="221">
        <f>INDEX('AEA Funding and Payments'!$A$8:$T$332,MATCH('Payment by Source'!$A173,'AEA Funding and Payments'!$A$8:$A$332,0),MATCH(H$5,'AEA Funding and Payments'!$A$4:$T$4,0))</f>
        <v>12068</v>
      </c>
      <c r="I173" s="221">
        <f>IF(Notes!$B$2="June",INDEX('AEA Funding and Payments'!$A$8:$AI$332,MATCH('Payment by Source'!$A173,'AEA Funding and Payments'!$A$8:$A$332,0),34),
ROUND(INDEX('AEA Funding and Payments'!$A$8:$T$332,MATCH('Payment by Source'!$A173,'AEA Funding and Payments'!$A$8:$A$332,0),MATCH(I$5,'AEA Funding and Payments'!$A$4:$T$4,0))/10,0))</f>
        <v>1862</v>
      </c>
      <c r="J173" s="221">
        <f t="shared" si="9"/>
        <v>346788</v>
      </c>
      <c r="K173" s="221">
        <f>INDEX(Data[],MATCH($A173,Data[Dist],0),MATCH(K$5,Data[#Headers],0))</f>
        <v>474998</v>
      </c>
      <c r="M173" s="59">
        <f>INDEX('Payment Total'!$A$7:$H$331,MATCH('Payment by Source'!$A173,'Payment Total'!$A$7:$A$331,0),6)-K173</f>
        <v>0</v>
      </c>
      <c r="O173" s="263">
        <f t="shared" si="12"/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3476779</v>
      </c>
      <c r="X173" s="136">
        <f t="shared" si="10"/>
        <v>347678</v>
      </c>
      <c r="Y173" s="136">
        <f t="shared" si="11"/>
        <v>3476780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7558</v>
      </c>
      <c r="D174" s="221">
        <f>IF(Notes!$B$2="June",ROUND('Budget by Source'!D174/10,0)+S174,ROUND('Budget by Source'!D174/10,0))</f>
        <v>59989</v>
      </c>
      <c r="E174" s="221">
        <f>IF(Notes!$B$2="June",ROUND('Budget by Source'!E174/10,0)+T174,ROUND('Budget by Source'!E174/10,0))</f>
        <v>2660</v>
      </c>
      <c r="F174" s="221">
        <f>IF(Notes!$B$2="June",ROUND('Budget by Source'!F174/10,0)+U174,ROUND('Budget by Source'!F174/10,0))</f>
        <v>2428</v>
      </c>
      <c r="G174" s="221">
        <f>IF(Notes!$B$2="June",ROUND('Budget by Source'!G174/10,0)+V174,ROUND('Budget by Source'!G174/10,0))</f>
        <v>11818</v>
      </c>
      <c r="H174" s="221">
        <f>INDEX('AEA Funding and Payments'!$A$8:$T$332,MATCH('Payment by Source'!$A174,'AEA Funding and Payments'!$A$8:$A$332,0),MATCH(H$5,'AEA Funding and Payments'!$A$4:$T$4,0))</f>
        <v>5903</v>
      </c>
      <c r="I174" s="221">
        <f>IF(Notes!$B$2="June",INDEX('AEA Funding and Payments'!$A$8:$AI$332,MATCH('Payment by Source'!$A174,'AEA Funding and Payments'!$A$8:$A$332,0),34),
ROUND(INDEX('AEA Funding and Payments'!$A$8:$T$332,MATCH('Payment by Source'!$A174,'AEA Funding and Payments'!$A$8:$A$332,0),MATCH(I$5,'AEA Funding and Payments'!$A$4:$T$4,0))/10,0))</f>
        <v>1097</v>
      </c>
      <c r="J174" s="221">
        <f t="shared" si="9"/>
        <v>134408</v>
      </c>
      <c r="K174" s="221">
        <f>INDEX(Data[],MATCH($A174,Data[Dist],0),MATCH(K$5,Data[#Headers],0))</f>
        <v>225861</v>
      </c>
      <c r="M174" s="59">
        <f>INDEX('Payment Total'!$A$7:$H$331,MATCH('Payment by Source'!$A174,'Payment Total'!$A$7:$A$331,0),6)-K174</f>
        <v>0</v>
      </c>
      <c r="O174" s="263">
        <f t="shared" si="12"/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1348546</v>
      </c>
      <c r="X174" s="136">
        <f t="shared" si="10"/>
        <v>134855</v>
      </c>
      <c r="Y174" s="136">
        <f t="shared" si="11"/>
        <v>1348550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17902</v>
      </c>
      <c r="D175" s="221">
        <f>IF(Notes!$B$2="June",ROUND('Budget by Source'!D175/10,0)+S175,ROUND('Budget by Source'!D175/10,0))</f>
        <v>72714</v>
      </c>
      <c r="E175" s="221">
        <f>IF(Notes!$B$2="June",ROUND('Budget by Source'!E175/10,0)+T175,ROUND('Budget by Source'!E175/10,0))</f>
        <v>5334</v>
      </c>
      <c r="F175" s="221">
        <f>IF(Notes!$B$2="June",ROUND('Budget by Source'!F175/10,0)+U175,ROUND('Budget by Source'!F175/10,0))</f>
        <v>5680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14197</v>
      </c>
      <c r="I175" s="221">
        <f>IF(Notes!$B$2="June",INDEX('AEA Funding and Payments'!$A$8:$AI$332,MATCH('Payment by Source'!$A175,'AEA Funding and Payments'!$A$8:$A$332,0),34),
ROUND(INDEX('AEA Funding and Payments'!$A$8:$T$332,MATCH('Payment by Source'!$A175,'AEA Funding and Payments'!$A$8:$A$332,0),MATCH(I$5,'AEA Funding and Payments'!$A$4:$T$4,0))/10,0))</f>
        <v>2201</v>
      </c>
      <c r="J175" s="221">
        <f t="shared" si="9"/>
        <v>388785</v>
      </c>
      <c r="K175" s="221">
        <f>INDEX(Data[],MATCH($A175,Data[Dist],0),MATCH(K$5,Data[#Headers],0))</f>
        <v>532666</v>
      </c>
      <c r="M175" s="59">
        <f>INDEX('Payment Total'!$A$7:$H$331,MATCH('Payment by Source'!$A175,'Payment Total'!$A$7:$A$331,0),6)-K175</f>
        <v>0</v>
      </c>
      <c r="O175" s="263">
        <f t="shared" si="12"/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3898099</v>
      </c>
      <c r="X175" s="136">
        <f t="shared" si="10"/>
        <v>389810</v>
      </c>
      <c r="Y175" s="136">
        <f t="shared" si="11"/>
        <v>3898100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17902</v>
      </c>
      <c r="D176" s="221">
        <f>IF(Notes!$B$2="June",ROUND('Budget by Source'!D176/10,0)+S176,ROUND('Budget by Source'!D176/10,0))</f>
        <v>55905</v>
      </c>
      <c r="E176" s="221">
        <f>IF(Notes!$B$2="June",ROUND('Budget by Source'!E176/10,0)+T176,ROUND('Budget by Source'!E176/10,0))</f>
        <v>3521</v>
      </c>
      <c r="F176" s="221">
        <f>IF(Notes!$B$2="June",ROUND('Budget by Source'!F176/10,0)+U176,ROUND('Budget by Source'!F176/10,0))</f>
        <v>3446</v>
      </c>
      <c r="G176" s="221">
        <f>IF(Notes!$B$2="June",ROUND('Budget by Source'!G176/10,0)+V176,ROUND('Budget by Source'!G176/10,0))</f>
        <v>18643</v>
      </c>
      <c r="H176" s="221">
        <f>INDEX('AEA Funding and Payments'!$A$8:$T$332,MATCH('Payment by Source'!$A176,'AEA Funding and Payments'!$A$8:$A$332,0),MATCH(H$5,'AEA Funding and Payments'!$A$4:$T$4,0))</f>
        <v>9112</v>
      </c>
      <c r="I176" s="221">
        <f>IF(Notes!$B$2="June",INDEX('AEA Funding and Payments'!$A$8:$AI$332,MATCH('Payment by Source'!$A176,'AEA Funding and Payments'!$A$8:$A$332,0),34),
ROUND(INDEX('AEA Funding and Payments'!$A$8:$T$332,MATCH('Payment by Source'!$A176,'AEA Funding and Payments'!$A$8:$A$332,0),MATCH(I$5,'AEA Funding and Payments'!$A$4:$T$4,0))/10,0))</f>
        <v>1375</v>
      </c>
      <c r="J176" s="221">
        <f t="shared" si="9"/>
        <v>211891</v>
      </c>
      <c r="K176" s="221">
        <f>INDEX(Data[],MATCH($A176,Data[Dist],0),MATCH(K$5,Data[#Headers],0))</f>
        <v>321795</v>
      </c>
      <c r="M176" s="59">
        <f>INDEX('Payment Total'!$A$7:$H$331,MATCH('Payment by Source'!$A176,'Payment Total'!$A$7:$A$331,0),6)-K176</f>
        <v>0</v>
      </c>
      <c r="O176" s="263">
        <f t="shared" si="12"/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2125562</v>
      </c>
      <c r="X176" s="136">
        <f t="shared" si="10"/>
        <v>212556</v>
      </c>
      <c r="Y176" s="136">
        <f t="shared" si="11"/>
        <v>2125560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64349</v>
      </c>
      <c r="E177" s="221">
        <f>IF(Notes!$B$2="June",ROUND('Budget by Source'!E177/10,0)+T177,ROUND('Budget by Source'!E177/10,0))</f>
        <v>5153</v>
      </c>
      <c r="F177" s="221">
        <f>IF(Notes!$B$2="June",ROUND('Budget by Source'!F177/10,0)+U177,ROUND('Budget by Source'!F177/10,0))</f>
        <v>4720</v>
      </c>
      <c r="G177" s="221">
        <f>IF(Notes!$B$2="June",ROUND('Budget by Source'!G177/10,0)+V177,ROUND('Budget by Source'!G177/10,0))</f>
        <v>24352</v>
      </c>
      <c r="H177" s="221">
        <f>INDEX('AEA Funding and Payments'!$A$8:$T$332,MATCH('Payment by Source'!$A177,'AEA Funding and Payments'!$A$8:$A$332,0),MATCH(H$5,'AEA Funding and Payments'!$A$4:$T$4,0))</f>
        <v>12973</v>
      </c>
      <c r="I177" s="221">
        <f>IF(Notes!$B$2="June",INDEX('AEA Funding and Payments'!$A$8:$AI$332,MATCH('Payment by Source'!$A177,'AEA Funding and Payments'!$A$8:$A$332,0),34),
ROUND(INDEX('AEA Funding and Payments'!$A$8:$T$332,MATCH('Payment by Source'!$A177,'AEA Funding and Payments'!$A$8:$A$332,0),MATCH(I$5,'AEA Funding and Payments'!$A$4:$T$4,0))/10,0))</f>
        <v>2045</v>
      </c>
      <c r="J177" s="221">
        <f t="shared" si="9"/>
        <v>415274</v>
      </c>
      <c r="K177" s="221">
        <f>INDEX(Data[],MATCH($A177,Data[Dist],0),MATCH(K$5,Data[#Headers],0))</f>
        <v>541196</v>
      </c>
      <c r="M177" s="59">
        <f>INDEX('Payment Total'!$A$7:$H$331,MATCH('Payment by Source'!$A177,'Payment Total'!$A$7:$A$331,0),6)-K177</f>
        <v>0</v>
      </c>
      <c r="O177" s="263">
        <f t="shared" si="12"/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4162030</v>
      </c>
      <c r="X177" s="136">
        <f t="shared" si="10"/>
        <v>416203</v>
      </c>
      <c r="Y177" s="136">
        <f t="shared" si="11"/>
        <v>4162030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8753</v>
      </c>
      <c r="D178" s="221">
        <f>IF(Notes!$B$2="June",ROUND('Budget by Source'!D178/10,0)+S178,ROUND('Budget by Source'!D178/10,0))</f>
        <v>66847</v>
      </c>
      <c r="E178" s="221">
        <f>IF(Notes!$B$2="June",ROUND('Budget by Source'!E178/10,0)+T178,ROUND('Budget by Source'!E178/10,0))</f>
        <v>4242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21346</v>
      </c>
      <c r="H178" s="221">
        <f>INDEX('AEA Funding and Payments'!$A$8:$T$332,MATCH('Payment by Source'!$A178,'AEA Funding and Payments'!$A$8:$A$332,0),MATCH(H$5,'AEA Funding and Payments'!$A$4:$T$4,0))</f>
        <v>11932</v>
      </c>
      <c r="I178" s="221">
        <f>IF(Notes!$B$2="June",INDEX('AEA Funding and Payments'!$A$8:$AI$332,MATCH('Payment by Source'!$A178,'AEA Funding and Payments'!$A$8:$A$332,0),34),
ROUND(INDEX('AEA Funding and Payments'!$A$8:$T$332,MATCH('Payment by Source'!$A178,'AEA Funding and Payments'!$A$8:$A$332,0),MATCH(I$5,'AEA Funding and Payments'!$A$4:$T$4,0))/10,0))</f>
        <v>1838</v>
      </c>
      <c r="J178" s="221">
        <f t="shared" si="9"/>
        <v>261379</v>
      </c>
      <c r="K178" s="221">
        <f>INDEX(Data[],MATCH($A178,Data[Dist],0),MATCH(K$5,Data[#Headers],0))</f>
        <v>380913</v>
      </c>
      <c r="M178" s="59">
        <f>INDEX('Payment Total'!$A$7:$H$331,MATCH('Payment by Source'!$A178,'Payment Total'!$A$7:$A$331,0),6)-K178</f>
        <v>0</v>
      </c>
      <c r="O178" s="263">
        <f t="shared" si="12"/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2622120</v>
      </c>
      <c r="X178" s="136">
        <f t="shared" si="10"/>
        <v>262212</v>
      </c>
      <c r="Y178" s="136">
        <f t="shared" si="11"/>
        <v>2622120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77827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5543</v>
      </c>
      <c r="G179" s="221">
        <f>IF(Notes!$B$2="June",ROUND('Budget by Source'!G179/10,0)+V179,ROUND('Budget by Source'!G179/10,0))</f>
        <v>27291</v>
      </c>
      <c r="H179" s="221">
        <f>INDEX('AEA Funding and Payments'!$A$8:$T$332,MATCH('Payment by Source'!$A179,'AEA Funding and Payments'!$A$8:$A$332,0),MATCH(H$5,'AEA Funding and Payments'!$A$4:$T$4,0))</f>
        <v>13530</v>
      </c>
      <c r="I179" s="221">
        <f>IF(Notes!$B$2="June",INDEX('AEA Funding and Payments'!$A$8:$AI$332,MATCH('Payment by Source'!$A179,'AEA Funding and Payments'!$A$8:$A$332,0),34),
ROUND(INDEX('AEA Funding and Payments'!$A$8:$T$332,MATCH('Payment by Source'!$A179,'AEA Funding and Payments'!$A$8:$A$332,0),MATCH(I$5,'AEA Funding and Payments'!$A$4:$T$4,0))/10,0))</f>
        <v>2173</v>
      </c>
      <c r="J179" s="221">
        <f t="shared" si="9"/>
        <v>284927</v>
      </c>
      <c r="K179" s="221">
        <f>INDEX(Data[],MATCH($A179,Data[Dist],0),MATCH(K$5,Data[#Headers],0))</f>
        <v>429913</v>
      </c>
      <c r="M179" s="59">
        <f>INDEX('Payment Total'!$A$7:$H$331,MATCH('Payment by Source'!$A179,'Payment Total'!$A$7:$A$331,0),6)-K179</f>
        <v>0</v>
      </c>
      <c r="O179" s="263">
        <f t="shared" si="12"/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2859294</v>
      </c>
      <c r="X179" s="136">
        <f t="shared" si="10"/>
        <v>285929</v>
      </c>
      <c r="Y179" s="136">
        <f t="shared" si="11"/>
        <v>2859290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14720</v>
      </c>
      <c r="D180" s="221">
        <f>IF(Notes!$B$2="June",ROUND('Budget by Source'!D180/10,0)+S180,ROUND('Budget by Source'!D180/10,0))</f>
        <v>63731</v>
      </c>
      <c r="E180" s="221">
        <f>IF(Notes!$B$2="June",ROUND('Budget by Source'!E180/10,0)+T180,ROUND('Budget by Source'!E180/10,0))</f>
        <v>4186</v>
      </c>
      <c r="F180" s="221">
        <f>IF(Notes!$B$2="June",ROUND('Budget by Source'!F180/10,0)+U180,ROUND('Budget by Source'!F180/10,0))</f>
        <v>4300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11566</v>
      </c>
      <c r="I180" s="221">
        <f>IF(Notes!$B$2="June",INDEX('AEA Funding and Payments'!$A$8:$AI$332,MATCH('Payment by Source'!$A180,'AEA Funding and Payments'!$A$8:$A$332,0),34),
ROUND(INDEX('AEA Funding and Payments'!$A$8:$T$332,MATCH('Payment by Source'!$A180,'AEA Funding and Payments'!$A$8:$A$332,0),MATCH(I$5,'AEA Funding and Payments'!$A$4:$T$4,0))/10,0))</f>
        <v>1988</v>
      </c>
      <c r="J180" s="221">
        <f t="shared" si="9"/>
        <v>218610</v>
      </c>
      <c r="K180" s="221">
        <f>INDEX(Data[],MATCH($A180,Data[Dist],0),MATCH(K$5,Data[#Headers],0))</f>
        <v>341575</v>
      </c>
      <c r="M180" s="59">
        <f>INDEX('Payment Total'!$A$7:$H$331,MATCH('Payment by Source'!$A180,'Payment Total'!$A$7:$A$331,0),6)-K180</f>
        <v>0</v>
      </c>
      <c r="O180" s="263">
        <f t="shared" si="12"/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2194601</v>
      </c>
      <c r="X180" s="136">
        <f t="shared" si="10"/>
        <v>219460</v>
      </c>
      <c r="Y180" s="136">
        <f t="shared" si="11"/>
        <v>2194600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24612</v>
      </c>
      <c r="D181" s="221">
        <f>IF(Notes!$B$2="June",ROUND('Budget by Source'!D181/10,0)+S181,ROUND('Budget by Source'!D181/10,0))</f>
        <v>146080</v>
      </c>
      <c r="E181" s="221">
        <f>IF(Notes!$B$2="June",ROUND('Budget by Source'!E181/10,0)+T181,ROUND('Budget by Source'!E181/10,0))</f>
        <v>11334</v>
      </c>
      <c r="F181" s="221">
        <f>IF(Notes!$B$2="June",ROUND('Budget by Source'!F181/10,0)+U181,ROUND('Budget by Source'!F181/10,0))</f>
        <v>10941</v>
      </c>
      <c r="G181" s="221">
        <f>IF(Notes!$B$2="June",ROUND('Budget by Source'!G181/10,0)+V181,ROUND('Budget by Source'!G181/10,0))</f>
        <v>50636</v>
      </c>
      <c r="H181" s="221">
        <f>INDEX('AEA Funding and Payments'!$A$8:$T$332,MATCH('Payment by Source'!$A181,'AEA Funding and Payments'!$A$8:$A$332,0),MATCH(H$5,'AEA Funding and Payments'!$A$4:$T$4,0))</f>
        <v>27579</v>
      </c>
      <c r="I181" s="221">
        <f>IF(Notes!$B$2="June",INDEX('AEA Funding and Payments'!$A$8:$AI$332,MATCH('Payment by Source'!$A181,'AEA Funding and Payments'!$A$8:$A$332,0),34),
ROUND(INDEX('AEA Funding and Payments'!$A$8:$T$332,MATCH('Payment by Source'!$A181,'AEA Funding and Payments'!$A$8:$A$332,0),MATCH(I$5,'AEA Funding and Payments'!$A$4:$T$4,0))/10,0))</f>
        <v>4290</v>
      </c>
      <c r="J181" s="221">
        <f t="shared" si="9"/>
        <v>856277</v>
      </c>
      <c r="K181" s="221">
        <f>INDEX(Data[],MATCH($A181,Data[Dist],0),MATCH(K$5,Data[#Headers],0))</f>
        <v>1131749</v>
      </c>
      <c r="M181" s="59">
        <f>INDEX('Payment Total'!$A$7:$H$331,MATCH('Payment by Source'!$A181,'Payment Total'!$A$7:$A$331,0),6)-K181</f>
        <v>0</v>
      </c>
      <c r="O181" s="263">
        <f t="shared" si="12"/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8581009</v>
      </c>
      <c r="X181" s="136">
        <f t="shared" si="10"/>
        <v>858101</v>
      </c>
      <c r="Y181" s="136">
        <f t="shared" si="11"/>
        <v>8581010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11135</v>
      </c>
      <c r="D182" s="221">
        <f>IF(Notes!$B$2="June",ROUND('Budget by Source'!D182/10,0)+S182,ROUND('Budget by Source'!D182/10,0))</f>
        <v>78400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5470</v>
      </c>
      <c r="G182" s="221">
        <f>IF(Notes!$B$2="June",ROUND('Budget by Source'!G182/10,0)+V182,ROUND('Budget by Source'!G182/10,0))</f>
        <v>27315</v>
      </c>
      <c r="H182" s="221">
        <f>INDEX('AEA Funding and Payments'!$A$8:$T$332,MATCH('Payment by Source'!$A182,'AEA Funding and Payments'!$A$8:$A$332,0),MATCH(H$5,'AEA Funding and Payments'!$A$4:$T$4,0))</f>
        <v>13977</v>
      </c>
      <c r="I182" s="221">
        <f>IF(Notes!$B$2="June",INDEX('AEA Funding and Payments'!$A$8:$AI$332,MATCH('Payment by Source'!$A182,'AEA Funding and Payments'!$A$8:$A$332,0),34),
ROUND(INDEX('AEA Funding and Payments'!$A$8:$T$332,MATCH('Payment by Source'!$A182,'AEA Funding and Payments'!$A$8:$A$332,0),MATCH(I$5,'AEA Funding and Payments'!$A$4:$T$4,0))/10,0))</f>
        <v>2281</v>
      </c>
      <c r="J182" s="221">
        <f t="shared" si="9"/>
        <v>298768</v>
      </c>
      <c r="K182" s="221">
        <f>INDEX(Data[],MATCH($A182,Data[Dist],0),MATCH(K$5,Data[#Headers],0))</f>
        <v>442774</v>
      </c>
      <c r="M182" s="59">
        <f>INDEX('Payment Total'!$A$7:$H$331,MATCH('Payment by Source'!$A182,'Payment Total'!$A$7:$A$331,0),6)-K182</f>
        <v>0</v>
      </c>
      <c r="O182" s="263">
        <f t="shared" si="12"/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2997932</v>
      </c>
      <c r="X182" s="136">
        <f t="shared" si="10"/>
        <v>299793</v>
      </c>
      <c r="Y182" s="136">
        <f t="shared" si="11"/>
        <v>2997930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11135</v>
      </c>
      <c r="D183" s="221">
        <f>IF(Notes!$B$2="June",ROUND('Budget by Source'!D183/10,0)+S183,ROUND('Budget by Source'!D183/10,0))</f>
        <v>66803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3574</v>
      </c>
      <c r="G183" s="221">
        <f>IF(Notes!$B$2="June",ROUND('Budget by Source'!G183/10,0)+V183,ROUND('Budget by Source'!G183/10,0))</f>
        <v>17838</v>
      </c>
      <c r="H183" s="221">
        <f>INDEX('AEA Funding and Payments'!$A$8:$T$332,MATCH('Payment by Source'!$A183,'AEA Funding and Payments'!$A$8:$A$332,0),MATCH(H$5,'AEA Funding and Payments'!$A$4:$T$4,0))</f>
        <v>9483</v>
      </c>
      <c r="I183" s="221">
        <f>IF(Notes!$B$2="June",INDEX('AEA Funding and Payments'!$A$8:$AI$332,MATCH('Payment by Source'!$A183,'AEA Funding and Payments'!$A$8:$A$332,0),34),
ROUND(INDEX('AEA Funding and Payments'!$A$8:$T$332,MATCH('Payment by Source'!$A183,'AEA Funding and Payments'!$A$8:$A$332,0),MATCH(I$5,'AEA Funding and Payments'!$A$4:$T$4,0))/10,0))</f>
        <v>1538</v>
      </c>
      <c r="J183" s="221">
        <f t="shared" si="9"/>
        <v>135511</v>
      </c>
      <c r="K183" s="221">
        <f>INDEX(Data[],MATCH($A183,Data[Dist],0),MATCH(K$5,Data[#Headers],0))</f>
        <v>248797</v>
      </c>
      <c r="M183" s="59">
        <f>INDEX('Payment Total'!$A$7:$H$331,MATCH('Payment by Source'!$A183,'Payment Total'!$A$7:$A$331,0),6)-K183</f>
        <v>0</v>
      </c>
      <c r="O183" s="263">
        <f t="shared" si="12"/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1361771</v>
      </c>
      <c r="X183" s="136">
        <f t="shared" si="10"/>
        <v>136177</v>
      </c>
      <c r="Y183" s="136">
        <f t="shared" si="11"/>
        <v>1361770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42957</v>
      </c>
      <c r="D184" s="221">
        <f>IF(Notes!$B$2="June",ROUND('Budget by Source'!D184/10,0)+S184,ROUND('Budget by Source'!D184/10,0))</f>
        <v>161306</v>
      </c>
      <c r="E184" s="221">
        <f>IF(Notes!$B$2="June",ROUND('Budget by Source'!E184/10,0)+T184,ROUND('Budget by Source'!E184/10,0))</f>
        <v>15440</v>
      </c>
      <c r="F184" s="221">
        <f>IF(Notes!$B$2="June",ROUND('Budget by Source'!F184/10,0)+U184,ROUND('Budget by Source'!F184/10,0))</f>
        <v>15016</v>
      </c>
      <c r="G184" s="221">
        <f>IF(Notes!$B$2="June",ROUND('Budget by Source'!G184/10,0)+V184,ROUND('Budget by Source'!G184/10,0))</f>
        <v>68920</v>
      </c>
      <c r="H184" s="221">
        <f>INDEX('AEA Funding and Payments'!$A$8:$T$332,MATCH('Payment by Source'!$A184,'AEA Funding and Payments'!$A$8:$A$332,0),MATCH(H$5,'AEA Funding and Payments'!$A$4:$T$4,0))</f>
        <v>37396</v>
      </c>
      <c r="I184" s="221">
        <f>IF(Notes!$B$2="June",INDEX('AEA Funding and Payments'!$A$8:$AI$332,MATCH('Payment by Source'!$A184,'AEA Funding and Payments'!$A$8:$A$332,0),34),
ROUND(INDEX('AEA Funding and Payments'!$A$8:$T$332,MATCH('Payment by Source'!$A184,'AEA Funding and Payments'!$A$8:$A$332,0),MATCH(I$5,'AEA Funding and Payments'!$A$4:$T$4,0))/10,0))</f>
        <v>5755</v>
      </c>
      <c r="J184" s="221">
        <f t="shared" si="9"/>
        <v>1232523</v>
      </c>
      <c r="K184" s="221">
        <f>INDEX(Data[],MATCH($A184,Data[Dist],0),MATCH(K$5,Data[#Headers],0))</f>
        <v>1579313</v>
      </c>
      <c r="M184" s="59">
        <f>INDEX('Payment Total'!$A$7:$H$331,MATCH('Payment by Source'!$A184,'Payment Total'!$A$7:$A$331,0),6)-K184</f>
        <v>0</v>
      </c>
      <c r="O184" s="263">
        <f t="shared" si="12"/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12351100</v>
      </c>
      <c r="X184" s="136">
        <f t="shared" si="10"/>
        <v>1235110</v>
      </c>
      <c r="Y184" s="136">
        <f t="shared" si="11"/>
        <v>12351100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99834</v>
      </c>
      <c r="D185" s="221">
        <f>IF(Notes!$B$2="June",ROUND('Budget by Source'!D185/10,0)+S185,ROUND('Budget by Source'!D185/10,0))</f>
        <v>412314</v>
      </c>
      <c r="E185" s="221">
        <f>IF(Notes!$B$2="June",ROUND('Budget by Source'!E185/10,0)+T185,ROUND('Budget by Source'!E185/10,0))</f>
        <v>56483</v>
      </c>
      <c r="F185" s="221">
        <f>IF(Notes!$B$2="June",ROUND('Budget by Source'!F185/10,0)+U185,ROUND('Budget by Source'!F185/10,0))</f>
        <v>42179</v>
      </c>
      <c r="G185" s="221">
        <f>IF(Notes!$B$2="June",ROUND('Budget by Source'!G185/10,0)+V185,ROUND('Budget by Source'!G185/10,0))</f>
        <v>217506</v>
      </c>
      <c r="H185" s="221">
        <f>INDEX('AEA Funding and Payments'!$A$8:$T$332,MATCH('Payment by Source'!$A185,'AEA Funding and Payments'!$A$8:$A$332,0),MATCH(H$5,'AEA Funding and Payments'!$A$4:$T$4,0))</f>
        <v>115620</v>
      </c>
      <c r="I185" s="221">
        <f>IF(Notes!$B$2="June",INDEX('AEA Funding and Payments'!$A$8:$AI$332,MATCH('Payment by Source'!$A185,'AEA Funding and Payments'!$A$8:$A$332,0),34),
ROUND(INDEX('AEA Funding and Payments'!$A$8:$T$332,MATCH('Payment by Source'!$A185,'AEA Funding and Payments'!$A$8:$A$332,0),MATCH(I$5,'AEA Funding and Payments'!$A$4:$T$4,0))/10,0))</f>
        <v>18082</v>
      </c>
      <c r="J185" s="221">
        <f t="shared" si="9"/>
        <v>4224036</v>
      </c>
      <c r="K185" s="221">
        <f>INDEX(Data[],MATCH($A185,Data[Dist],0),MATCH(K$5,Data[#Headers],0))</f>
        <v>5186054</v>
      </c>
      <c r="M185" s="59">
        <f>INDEX('Payment Total'!$A$7:$H$331,MATCH('Payment by Source'!$A185,'Payment Total'!$A$7:$A$331,0),6)-K185</f>
        <v>0</v>
      </c>
      <c r="O185" s="263">
        <f t="shared" si="12"/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42322143</v>
      </c>
      <c r="X185" s="136">
        <f t="shared" si="10"/>
        <v>4232214</v>
      </c>
      <c r="Y185" s="136">
        <f t="shared" si="11"/>
        <v>42322140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9544</v>
      </c>
      <c r="D186" s="221">
        <f>IF(Notes!$B$2="June",ROUND('Budget by Source'!D186/10,0)+S186,ROUND('Budget by Source'!D186/10,0))</f>
        <v>60367</v>
      </c>
      <c r="E186" s="221">
        <f>IF(Notes!$B$2="June",ROUND('Budget by Source'!E186/10,0)+T186,ROUND('Budget by Source'!E186/10,0))</f>
        <v>3662</v>
      </c>
      <c r="F186" s="221">
        <f>IF(Notes!$B$2="June",ROUND('Budget by Source'!F186/10,0)+U186,ROUND('Budget by Source'!F186/10,0))</f>
        <v>3250</v>
      </c>
      <c r="G186" s="221">
        <f>IF(Notes!$B$2="June",ROUND('Budget by Source'!G186/10,0)+V186,ROUND('Budget by Source'!G186/10,0))</f>
        <v>18605</v>
      </c>
      <c r="H186" s="221">
        <f>INDEX('AEA Funding and Payments'!$A$8:$T$332,MATCH('Payment by Source'!$A186,'AEA Funding and Payments'!$A$8:$A$332,0),MATCH(H$5,'AEA Funding and Payments'!$A$4:$T$4,0))</f>
        <v>9941</v>
      </c>
      <c r="I186" s="221">
        <f>IF(Notes!$B$2="June",INDEX('AEA Funding and Payments'!$A$8:$AI$332,MATCH('Payment by Source'!$A186,'AEA Funding and Payments'!$A$8:$A$332,0),34),
ROUND(INDEX('AEA Funding and Payments'!$A$8:$T$332,MATCH('Payment by Source'!$A186,'AEA Funding and Payments'!$A$8:$A$332,0),MATCH(I$5,'AEA Funding and Payments'!$A$4:$T$4,0))/10,0))</f>
        <v>1490</v>
      </c>
      <c r="J186" s="221">
        <f t="shared" si="9"/>
        <v>268735</v>
      </c>
      <c r="K186" s="221">
        <f>INDEX(Data[],MATCH($A186,Data[Dist],0),MATCH(K$5,Data[#Headers],0))</f>
        <v>375594</v>
      </c>
      <c r="M186" s="59">
        <f>INDEX('Payment Total'!$A$7:$H$331,MATCH('Payment by Source'!$A186,'Payment Total'!$A$7:$A$331,0),6)-K186</f>
        <v>0</v>
      </c>
      <c r="O186" s="263">
        <f t="shared" si="12"/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2694444</v>
      </c>
      <c r="X186" s="136">
        <f t="shared" si="10"/>
        <v>269444</v>
      </c>
      <c r="Y186" s="136">
        <f t="shared" si="11"/>
        <v>2694440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73188</v>
      </c>
      <c r="D187" s="221">
        <f>IF(Notes!$B$2="June",ROUND('Budget by Source'!D187/10,0)+S187,ROUND('Budget by Source'!D187/10,0))</f>
        <v>275139</v>
      </c>
      <c r="E187" s="221">
        <f>IF(Notes!$B$2="June",ROUND('Budget by Source'!E187/10,0)+T187,ROUND('Budget by Source'!E187/10,0))</f>
        <v>32959</v>
      </c>
      <c r="F187" s="221">
        <f>IF(Notes!$B$2="June",ROUND('Budget by Source'!F187/10,0)+U187,ROUND('Budget by Source'!F187/10,0))</f>
        <v>29283</v>
      </c>
      <c r="G187" s="221">
        <f>IF(Notes!$B$2="June",ROUND('Budget by Source'!G187/10,0)+V187,ROUND('Budget by Source'!G187/10,0))</f>
        <v>142522</v>
      </c>
      <c r="H187" s="221">
        <f>INDEX('AEA Funding and Payments'!$A$8:$T$332,MATCH('Payment by Source'!$A187,'AEA Funding and Payments'!$A$8:$A$332,0),MATCH(H$5,'AEA Funding and Payments'!$A$4:$T$4,0))</f>
        <v>72957</v>
      </c>
      <c r="I187" s="221">
        <f>IF(Notes!$B$2="June",INDEX('AEA Funding and Payments'!$A$8:$AI$332,MATCH('Payment by Source'!$A187,'AEA Funding and Payments'!$A$8:$A$332,0),34),
ROUND(INDEX('AEA Funding and Payments'!$A$8:$T$332,MATCH('Payment by Source'!$A187,'AEA Funding and Payments'!$A$8:$A$332,0),MATCH(I$5,'AEA Funding and Payments'!$A$4:$T$4,0))/10,0))</f>
        <v>11466</v>
      </c>
      <c r="J187" s="221">
        <f t="shared" si="9"/>
        <v>2089342</v>
      </c>
      <c r="K187" s="221">
        <f>INDEX(Data[],MATCH($A187,Data[Dist],0),MATCH(K$5,Data[#Headers],0))</f>
        <v>2726856</v>
      </c>
      <c r="M187" s="59">
        <f>INDEX('Payment Total'!$A$7:$H$331,MATCH('Payment by Source'!$A187,'Payment Total'!$A$7:$A$331,0),6)-K187</f>
        <v>0</v>
      </c>
      <c r="O187" s="263">
        <f t="shared" si="12"/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20943305</v>
      </c>
      <c r="X187" s="136">
        <f t="shared" si="10"/>
        <v>2094331</v>
      </c>
      <c r="Y187" s="136">
        <f t="shared" si="11"/>
        <v>20943310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150588</v>
      </c>
      <c r="E188" s="221">
        <f>IF(Notes!$B$2="June",ROUND('Budget by Source'!E188/10,0)+T188,ROUND('Budget by Source'!E188/10,0))</f>
        <v>15817</v>
      </c>
      <c r="F188" s="221">
        <f>IF(Notes!$B$2="June",ROUND('Budget by Source'!F188/10,0)+U188,ROUND('Budget by Source'!F188/10,0))</f>
        <v>16105</v>
      </c>
      <c r="G188" s="221">
        <f>IF(Notes!$B$2="June",ROUND('Budget by Source'!G188/10,0)+V188,ROUND('Budget by Source'!G188/10,0))</f>
        <v>77459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IF(Notes!$B$2="June",INDEX('AEA Funding and Payments'!$A$8:$AI$332,MATCH('Payment by Source'!$A188,'AEA Funding and Payments'!$A$8:$A$332,0),34),
ROUND(INDEX('AEA Funding and Payments'!$A$8:$T$332,MATCH('Payment by Source'!$A188,'AEA Funding and Payments'!$A$8:$A$332,0),MATCH(I$5,'AEA Funding and Payments'!$A$4:$T$4,0))/10,0))</f>
        <v>5166</v>
      </c>
      <c r="J188" s="221">
        <f t="shared" si="9"/>
        <v>812799</v>
      </c>
      <c r="K188" s="221">
        <f>INDEX(Data[],MATCH($A188,Data[Dist],0),MATCH(K$5,Data[#Headers],0))</f>
        <v>1131263</v>
      </c>
      <c r="M188" s="59">
        <f>INDEX('Payment Total'!$A$7:$H$331,MATCH('Payment by Source'!$A188,'Payment Total'!$A$7:$A$331,0),6)-K188</f>
        <v>0</v>
      </c>
      <c r="O188" s="263">
        <f t="shared" si="12"/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8151167</v>
      </c>
      <c r="X188" s="136">
        <f t="shared" si="10"/>
        <v>815117</v>
      </c>
      <c r="Y188" s="136">
        <f t="shared" si="11"/>
        <v>8151170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9544</v>
      </c>
      <c r="D189" s="221">
        <f>IF(Notes!$B$2="June",ROUND('Budget by Source'!D189/10,0)+S189,ROUND('Budget by Source'!D189/10,0))</f>
        <v>82634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6115</v>
      </c>
      <c r="G189" s="221">
        <f>IF(Notes!$B$2="June",ROUND('Budget by Source'!G189/10,0)+V189,ROUND('Budget by Source'!G189/10,0))</f>
        <v>33814</v>
      </c>
      <c r="H189" s="221">
        <f>INDEX('AEA Funding and Payments'!$A$8:$T$332,MATCH('Payment by Source'!$A189,'AEA Funding and Payments'!$A$8:$A$332,0),MATCH(H$5,'AEA Funding and Payments'!$A$4:$T$4,0))</f>
        <v>18067</v>
      </c>
      <c r="I189" s="221">
        <f>IF(Notes!$B$2="June",INDEX('AEA Funding and Payments'!$A$8:$AI$332,MATCH('Payment by Source'!$A189,'AEA Funding and Payments'!$A$8:$A$332,0),34),
ROUND(INDEX('AEA Funding and Payments'!$A$8:$T$332,MATCH('Payment by Source'!$A189,'AEA Funding and Payments'!$A$8:$A$332,0),MATCH(I$5,'AEA Funding and Payments'!$A$4:$T$4,0))/10,0))</f>
        <v>2758</v>
      </c>
      <c r="J189" s="221">
        <f t="shared" si="9"/>
        <v>498001</v>
      </c>
      <c r="K189" s="221">
        <f>INDEX(Data[],MATCH($A189,Data[Dist],0),MATCH(K$5,Data[#Headers],0))</f>
        <v>657429</v>
      </c>
      <c r="M189" s="59">
        <f>INDEX('Payment Total'!$A$7:$H$331,MATCH('Payment by Source'!$A189,'Payment Total'!$A$7:$A$331,0),6)-K189</f>
        <v>0</v>
      </c>
      <c r="O189" s="263">
        <f t="shared" si="12"/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4993251</v>
      </c>
      <c r="X189" s="136">
        <f t="shared" si="10"/>
        <v>499325</v>
      </c>
      <c r="Y189" s="136">
        <f t="shared" si="11"/>
        <v>4993250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7162</v>
      </c>
      <c r="D190" s="221">
        <f>IF(Notes!$B$2="June",ROUND('Budget by Source'!D190/10,0)+S190,ROUND('Budget by Source'!D190/10,0))</f>
        <v>45393</v>
      </c>
      <c r="E190" s="221">
        <f>IF(Notes!$B$2="June",ROUND('Budget by Source'!E190/10,0)+T190,ROUND('Budget by Source'!E190/10,0))</f>
        <v>2764</v>
      </c>
      <c r="F190" s="221">
        <f>IF(Notes!$B$2="June",ROUND('Budget by Source'!F190/10,0)+U190,ROUND('Budget by Source'!F190/10,0))</f>
        <v>2354</v>
      </c>
      <c r="G190" s="221">
        <f>IF(Notes!$B$2="June",ROUND('Budget by Source'!G190/10,0)+V190,ROUND('Budget by Source'!G190/10,0))</f>
        <v>11153</v>
      </c>
      <c r="H190" s="221">
        <f>INDEX('AEA Funding and Payments'!$A$8:$T$332,MATCH('Payment by Source'!$A190,'AEA Funding and Payments'!$A$8:$A$332,0),MATCH(H$5,'AEA Funding and Payments'!$A$4:$T$4,0))</f>
        <v>6013</v>
      </c>
      <c r="I190" s="221">
        <f>IF(Notes!$B$2="June",INDEX('AEA Funding and Payments'!$A$8:$AI$332,MATCH('Payment by Source'!$A190,'AEA Funding and Payments'!$A$8:$A$332,0),34),
ROUND(INDEX('AEA Funding and Payments'!$A$8:$T$332,MATCH('Payment by Source'!$A190,'AEA Funding and Payments'!$A$8:$A$332,0),MATCH(I$5,'AEA Funding and Payments'!$A$4:$T$4,0))/10,0))</f>
        <v>982</v>
      </c>
      <c r="J190" s="221">
        <f t="shared" si="9"/>
        <v>203573</v>
      </c>
      <c r="K190" s="221">
        <f>INDEX(Data[],MATCH($A190,Data[Dist],0),MATCH(K$5,Data[#Headers],0))</f>
        <v>279394</v>
      </c>
      <c r="M190" s="59">
        <f>INDEX('Payment Total'!$A$7:$H$331,MATCH('Payment by Source'!$A190,'Payment Total'!$A$7:$A$331,0),6)-K190</f>
        <v>0</v>
      </c>
      <c r="O190" s="263">
        <f t="shared" si="12"/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2040152</v>
      </c>
      <c r="X190" s="136">
        <f t="shared" si="10"/>
        <v>204015</v>
      </c>
      <c r="Y190" s="136">
        <f t="shared" si="11"/>
        <v>2040150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50383</v>
      </c>
      <c r="E191" s="221">
        <f>IF(Notes!$B$2="June",ROUND('Budget by Source'!E191/10,0)+T191,ROUND('Budget by Source'!E191/10,0))</f>
        <v>3927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19175</v>
      </c>
      <c r="H191" s="221">
        <f>INDEX('AEA Funding and Payments'!$A$8:$T$332,MATCH('Payment by Source'!$A191,'AEA Funding and Payments'!$A$8:$A$332,0),MATCH(H$5,'AEA Funding and Payments'!$A$4:$T$4,0))</f>
        <v>10695</v>
      </c>
      <c r="I191" s="221">
        <f>IF(Notes!$B$2="June",INDEX('AEA Funding and Payments'!$A$8:$AI$332,MATCH('Payment by Source'!$A191,'AEA Funding and Payments'!$A$8:$A$332,0),34),
ROUND(INDEX('AEA Funding and Payments'!$A$8:$T$332,MATCH('Payment by Source'!$A191,'AEA Funding and Payments'!$A$8:$A$332,0),MATCH(I$5,'AEA Funding and Payments'!$A$4:$T$4,0))/10,0))</f>
        <v>1643</v>
      </c>
      <c r="J191" s="221">
        <f t="shared" si="9"/>
        <v>269582</v>
      </c>
      <c r="K191" s="221">
        <f>INDEX(Data[],MATCH($A191,Data[Dist],0),MATCH(K$5,Data[#Headers],0))</f>
        <v>369833</v>
      </c>
      <c r="M191" s="59">
        <f>INDEX('Payment Total'!$A$7:$H$331,MATCH('Payment by Source'!$A191,'Payment Total'!$A$7:$A$331,0),6)-K191</f>
        <v>0</v>
      </c>
      <c r="O191" s="263">
        <f t="shared" si="12"/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2703274</v>
      </c>
      <c r="X191" s="136">
        <f t="shared" si="10"/>
        <v>270327</v>
      </c>
      <c r="Y191" s="136">
        <f t="shared" si="11"/>
        <v>2703270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27841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10362</v>
      </c>
      <c r="F192" s="221">
        <f>IF(Notes!$B$2="June",ROUND('Budget by Source'!F192/10,0)+U192,ROUND('Budget by Source'!F192/10,0))</f>
        <v>9983</v>
      </c>
      <c r="G192" s="221">
        <f>IF(Notes!$B$2="June",ROUND('Budget by Source'!G192/10,0)+V192,ROUND('Budget by Source'!G192/10,0))</f>
        <v>50075</v>
      </c>
      <c r="H192" s="221">
        <f>INDEX('AEA Funding and Payments'!$A$8:$T$332,MATCH('Payment by Source'!$A192,'AEA Funding and Payments'!$A$8:$A$332,0),MATCH(H$5,'AEA Funding and Payments'!$A$4:$T$4,0))</f>
        <v>24246</v>
      </c>
      <c r="I192" s="221">
        <f>IF(Notes!$B$2="June",INDEX('AEA Funding and Payments'!$A$8:$AI$332,MATCH('Payment by Source'!$A192,'AEA Funding and Payments'!$A$8:$A$332,0),34),
ROUND(INDEX('AEA Funding and Payments'!$A$8:$T$332,MATCH('Payment by Source'!$A192,'AEA Funding and Payments'!$A$8:$A$332,0),MATCH(I$5,'AEA Funding and Payments'!$A$4:$T$4,0))/10,0))</f>
        <v>3824</v>
      </c>
      <c r="J192" s="221">
        <f t="shared" si="9"/>
        <v>621171</v>
      </c>
      <c r="K192" s="221">
        <f>INDEX(Data[],MATCH($A192,Data[Dist],0),MATCH(K$5,Data[#Headers],0))</f>
        <v>881687</v>
      </c>
      <c r="M192" s="59">
        <f>INDEX('Payment Total'!$A$7:$H$331,MATCH('Payment by Source'!$A192,'Payment Total'!$A$7:$A$331,0),6)-K192</f>
        <v>0</v>
      </c>
      <c r="O192" s="263">
        <f t="shared" si="12"/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6229255</v>
      </c>
      <c r="X192" s="136">
        <f t="shared" si="10"/>
        <v>622926</v>
      </c>
      <c r="Y192" s="136">
        <f t="shared" si="11"/>
        <v>6229260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13121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5753</v>
      </c>
      <c r="F193" s="221">
        <f>IF(Notes!$B$2="June",ROUND('Budget by Source'!F193/10,0)+U193,ROUND('Budget by Source'!F193/10,0))</f>
        <v>4943</v>
      </c>
      <c r="G193" s="221">
        <f>IF(Notes!$B$2="June",ROUND('Budget by Source'!G193/10,0)+V193,ROUND('Budget by Source'!G193/10,0))</f>
        <v>28307</v>
      </c>
      <c r="H193" s="221">
        <f>INDEX('AEA Funding and Payments'!$A$8:$T$332,MATCH('Payment by Source'!$A193,'AEA Funding and Payments'!$A$8:$A$332,0),MATCH(H$5,'AEA Funding and Payments'!$A$4:$T$4,0))</f>
        <v>16067</v>
      </c>
      <c r="I193" s="221">
        <f>IF(Notes!$B$2="June",INDEX('AEA Funding and Payments'!$A$8:$AI$332,MATCH('Payment by Source'!$A193,'AEA Funding and Payments'!$A$8:$A$332,0),34),
ROUND(INDEX('AEA Funding and Payments'!$A$8:$T$332,MATCH('Payment by Source'!$A193,'AEA Funding and Payments'!$A$8:$A$332,0),MATCH(I$5,'AEA Funding and Payments'!$A$4:$T$4,0))/10,0))</f>
        <v>2481</v>
      </c>
      <c r="J193" s="221">
        <f t="shared" si="9"/>
        <v>433049</v>
      </c>
      <c r="K193" s="221">
        <f>INDEX(Data[],MATCH($A193,Data[Dist],0),MATCH(K$5,Data[#Headers],0))</f>
        <v>583824</v>
      </c>
      <c r="M193" s="59">
        <f>INDEX('Payment Total'!$A$7:$H$331,MATCH('Payment by Source'!$A193,'Payment Total'!$A$7:$A$331,0),6)-K193</f>
        <v>0</v>
      </c>
      <c r="O193" s="263">
        <f t="shared" si="12"/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4341621</v>
      </c>
      <c r="X193" s="136">
        <f t="shared" si="10"/>
        <v>434162</v>
      </c>
      <c r="Y193" s="136">
        <f t="shared" si="11"/>
        <v>4341620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21083</v>
      </c>
      <c r="D194" s="221">
        <f>IF(Notes!$B$2="June",ROUND('Budget by Source'!D194/10,0)+S194,ROUND('Budget by Source'!D194/10,0))</f>
        <v>83295</v>
      </c>
      <c r="E194" s="221">
        <f>IF(Notes!$B$2="June",ROUND('Budget by Source'!E194/10,0)+T194,ROUND('Budget by Source'!E194/10,0))</f>
        <v>6904</v>
      </c>
      <c r="F194" s="221">
        <f>IF(Notes!$B$2="June",ROUND('Budget by Source'!F194/10,0)+U194,ROUND('Budget by Source'!F194/10,0))</f>
        <v>6743</v>
      </c>
      <c r="G194" s="221">
        <f>IF(Notes!$B$2="June",ROUND('Budget by Source'!G194/10,0)+V194,ROUND('Budget by Source'!G194/10,0))</f>
        <v>30834</v>
      </c>
      <c r="H194" s="221">
        <f>INDEX('AEA Funding and Payments'!$A$8:$T$332,MATCH('Payment by Source'!$A194,'AEA Funding and Payments'!$A$8:$A$332,0),MATCH(H$5,'AEA Funding and Payments'!$A$4:$T$4,0))</f>
        <v>16688</v>
      </c>
      <c r="I194" s="221">
        <f>IF(Notes!$B$2="June",INDEX('AEA Funding and Payments'!$A$8:$AI$332,MATCH('Payment by Source'!$A194,'AEA Funding and Payments'!$A$8:$A$332,0),34),
ROUND(INDEX('AEA Funding and Payments'!$A$8:$T$332,MATCH('Payment by Source'!$A194,'AEA Funding and Payments'!$A$8:$A$332,0),MATCH(I$5,'AEA Funding and Payments'!$A$4:$T$4,0))/10,0))</f>
        <v>2728</v>
      </c>
      <c r="J194" s="221">
        <f t="shared" si="9"/>
        <v>503763</v>
      </c>
      <c r="K194" s="221">
        <f>INDEX(Data[],MATCH($A194,Data[Dist],0),MATCH(K$5,Data[#Headers],0))</f>
        <v>672038</v>
      </c>
      <c r="M194" s="59">
        <f>INDEX('Payment Total'!$A$7:$H$331,MATCH('Payment by Source'!$A194,'Payment Total'!$A$7:$A$331,0),6)-K194</f>
        <v>0</v>
      </c>
      <c r="O194" s="263">
        <f t="shared" si="12"/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5049597</v>
      </c>
      <c r="X194" s="136">
        <f t="shared" si="10"/>
        <v>504960</v>
      </c>
      <c r="Y194" s="136">
        <f t="shared" si="11"/>
        <v>5049600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55888</v>
      </c>
      <c r="E195" s="221">
        <f>IF(Notes!$B$2="June",ROUND('Budget by Source'!E195/10,0)+T195,ROUND('Budget by Source'!E195/10,0))</f>
        <v>3810</v>
      </c>
      <c r="F195" s="221">
        <f>IF(Notes!$B$2="June",ROUND('Budget by Source'!F195/10,0)+U195,ROUND('Budget by Source'!F195/10,0))</f>
        <v>2980</v>
      </c>
      <c r="G195" s="221">
        <f>IF(Notes!$B$2="June",ROUND('Budget by Source'!G195/10,0)+V195,ROUND('Budget by Source'!G195/10,0))</f>
        <v>17595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IF(Notes!$B$2="June",INDEX('AEA Funding and Payments'!$A$8:$AI$332,MATCH('Payment by Source'!$A195,'AEA Funding and Payments'!$A$8:$A$332,0),34),
ROUND(INDEX('AEA Funding and Payments'!$A$8:$T$332,MATCH('Payment by Source'!$A195,'AEA Funding and Payments'!$A$8:$A$332,0),MATCH(I$5,'AEA Funding and Payments'!$A$4:$T$4,0))/10,0))</f>
        <v>1520</v>
      </c>
      <c r="J195" s="221">
        <f t="shared" si="9"/>
        <v>116188</v>
      </c>
      <c r="K195" s="221">
        <f>INDEX(Data[],MATCH($A195,Data[Dist],0),MATCH(K$5,Data[#Headers],0))</f>
        <v>218079</v>
      </c>
      <c r="M195" s="59">
        <f>INDEX('Payment Total'!$A$7:$H$331,MATCH('Payment by Source'!$A195,'Payment Total'!$A$7:$A$331,0),6)-K195</f>
        <v>0</v>
      </c>
      <c r="O195" s="263">
        <f t="shared" si="12"/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1168806</v>
      </c>
      <c r="X195" s="136">
        <f t="shared" si="10"/>
        <v>116881</v>
      </c>
      <c r="Y195" s="136">
        <f t="shared" si="11"/>
        <v>1168810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22269</v>
      </c>
      <c r="D196" s="221">
        <f>IF(Notes!$B$2="June",ROUND('Budget by Source'!D196/10,0)+S196,ROUND('Budget by Source'!D196/10,0))</f>
        <v>104394</v>
      </c>
      <c r="E196" s="221">
        <f>IF(Notes!$B$2="June",ROUND('Budget by Source'!E196/10,0)+T196,ROUND('Budget by Source'!E196/10,0))</f>
        <v>7544</v>
      </c>
      <c r="F196" s="221">
        <f>IF(Notes!$B$2="June",ROUND('Budget by Source'!F196/10,0)+U196,ROUND('Budget by Source'!F196/10,0))</f>
        <v>6966</v>
      </c>
      <c r="G196" s="221">
        <f>IF(Notes!$B$2="June",ROUND('Budget by Source'!G196/10,0)+V196,ROUND('Budget by Source'!G196/10,0))</f>
        <v>38863</v>
      </c>
      <c r="H196" s="221">
        <f>INDEX('AEA Funding and Payments'!$A$8:$T$332,MATCH('Payment by Source'!$A196,'AEA Funding and Payments'!$A$8:$A$332,0),MATCH(H$5,'AEA Funding and Payments'!$A$4:$T$4,0))</f>
        <v>20587</v>
      </c>
      <c r="I196" s="221">
        <f>IF(Notes!$B$2="June",INDEX('AEA Funding and Payments'!$A$8:$AI$332,MATCH('Payment by Source'!$A196,'AEA Funding and Payments'!$A$8:$A$332,0),34),
ROUND(INDEX('AEA Funding and Payments'!$A$8:$T$332,MATCH('Payment by Source'!$A196,'AEA Funding and Payments'!$A$8:$A$332,0),MATCH(I$5,'AEA Funding and Payments'!$A$4:$T$4,0))/10,0))</f>
        <v>3165</v>
      </c>
      <c r="J196" s="221">
        <f t="shared" si="9"/>
        <v>577926</v>
      </c>
      <c r="K196" s="221">
        <f>INDEX(Data[],MATCH($A196,Data[Dist],0),MATCH(K$5,Data[#Headers],0))</f>
        <v>781714</v>
      </c>
      <c r="M196" s="59">
        <f>INDEX('Payment Total'!$A$7:$H$331,MATCH('Payment by Source'!$A196,'Payment Total'!$A$7:$A$331,0),6)-K196</f>
        <v>0</v>
      </c>
      <c r="O196" s="263">
        <f t="shared" si="12"/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5794053</v>
      </c>
      <c r="X196" s="136">
        <f t="shared" si="10"/>
        <v>579405</v>
      </c>
      <c r="Y196" s="136">
        <f t="shared" si="11"/>
        <v>5794050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5178</v>
      </c>
      <c r="D197" s="221">
        <f>IF(Notes!$B$2="June",ROUND('Budget by Source'!D197/10,0)+S197,ROUND('Budget by Source'!D197/10,0))</f>
        <v>48971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2732</v>
      </c>
      <c r="G197" s="221">
        <f>IF(Notes!$B$2="June",ROUND('Budget by Source'!G197/10,0)+V197,ROUND('Budget by Source'!G197/10,0))</f>
        <v>12083</v>
      </c>
      <c r="H197" s="221">
        <f>INDEX('AEA Funding and Payments'!$A$8:$T$332,MATCH('Payment by Source'!$A197,'AEA Funding and Payments'!$A$8:$A$332,0),MATCH(H$5,'AEA Funding and Payments'!$A$4:$T$4,0))</f>
        <v>6539</v>
      </c>
      <c r="I197" s="221">
        <f>IF(Notes!$B$2="June",INDEX('AEA Funding and Payments'!$A$8:$AI$332,MATCH('Payment by Source'!$A197,'AEA Funding and Payments'!$A$8:$A$332,0),34),
ROUND(INDEX('AEA Funding and Payments'!$A$8:$T$332,MATCH('Payment by Source'!$A197,'AEA Funding and Payments'!$A$8:$A$332,0),MATCH(I$5,'AEA Funding and Payments'!$A$4:$T$4,0))/10,0))</f>
        <v>1079</v>
      </c>
      <c r="J197" s="221">
        <f t="shared" si="9"/>
        <v>182675</v>
      </c>
      <c r="K197" s="221">
        <f>INDEX(Data[],MATCH($A197,Data[Dist],0),MATCH(K$5,Data[#Headers],0))</f>
        <v>262290</v>
      </c>
      <c r="M197" s="59">
        <f>INDEX('Payment Total'!$A$7:$H$331,MATCH('Payment by Source'!$A197,'Payment Total'!$A$7:$A$331,0),6)-K197</f>
        <v>0</v>
      </c>
      <c r="O197" s="263">
        <f t="shared" si="12"/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1831405</v>
      </c>
      <c r="X197" s="136">
        <f t="shared" si="10"/>
        <v>183141</v>
      </c>
      <c r="Y197" s="136">
        <f t="shared" si="11"/>
        <v>1831410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7558</v>
      </c>
      <c r="D198" s="221">
        <f>IF(Notes!$B$2="June",ROUND('Budget by Source'!D198/10,0)+S198,ROUND('Budget by Source'!D198/10,0))</f>
        <v>44364</v>
      </c>
      <c r="E198" s="221">
        <f>IF(Notes!$B$2="June",ROUND('Budget by Source'!E198/10,0)+T198,ROUND('Budget by Source'!E198/10,0))</f>
        <v>1791</v>
      </c>
      <c r="F198" s="221">
        <f>IF(Notes!$B$2="June",ROUND('Budget by Source'!F198/10,0)+U198,ROUND('Budget by Source'!F198/10,0))</f>
        <v>1436</v>
      </c>
      <c r="G198" s="221">
        <f>IF(Notes!$B$2="June",ROUND('Budget by Source'!G198/10,0)+V198,ROUND('Budget by Source'!G198/10,0))</f>
        <v>8363</v>
      </c>
      <c r="H198" s="221">
        <f>INDEX('AEA Funding and Payments'!$A$8:$T$332,MATCH('Payment by Source'!$A198,'AEA Funding and Payments'!$A$8:$A$332,0),MATCH(H$5,'AEA Funding and Payments'!$A$4:$T$4,0))</f>
        <v>4584</v>
      </c>
      <c r="I198" s="221">
        <f>IF(Notes!$B$2="June",INDEX('AEA Funding and Payments'!$A$8:$AI$332,MATCH('Payment by Source'!$A198,'AEA Funding and Payments'!$A$8:$A$332,0),34),
ROUND(INDEX('AEA Funding and Payments'!$A$8:$T$332,MATCH('Payment by Source'!$A198,'AEA Funding and Payments'!$A$8:$A$332,0),MATCH(I$5,'AEA Funding and Payments'!$A$4:$T$4,0))/10,0))</f>
        <v>786</v>
      </c>
      <c r="J198" s="221">
        <f t="shared" si="9"/>
        <v>134931</v>
      </c>
      <c r="K198" s="221">
        <f>INDEX(Data[],MATCH($A198,Data[Dist],0),MATCH(K$5,Data[#Headers],0))</f>
        <v>203813</v>
      </c>
      <c r="M198" s="59">
        <f>INDEX('Payment Total'!$A$7:$H$331,MATCH('Payment by Source'!$A198,'Payment Total'!$A$7:$A$331,0),6)-K198</f>
        <v>0</v>
      </c>
      <c r="O198" s="263">
        <f t="shared" si="12"/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1352603</v>
      </c>
      <c r="X198" s="136">
        <f t="shared" si="10"/>
        <v>135260</v>
      </c>
      <c r="Y198" s="136">
        <f t="shared" si="11"/>
        <v>1352600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4377</v>
      </c>
      <c r="D199" s="221">
        <f>IF(Notes!$B$2="June",ROUND('Budget by Source'!D199/10,0)+S199,ROUND('Budget by Source'!D199/10,0))</f>
        <v>23968</v>
      </c>
      <c r="E199" s="221">
        <f>IF(Notes!$B$2="June",ROUND('Budget by Source'!E199/10,0)+T199,ROUND('Budget by Source'!E199/10,0))</f>
        <v>1952</v>
      </c>
      <c r="F199" s="221">
        <f>IF(Notes!$B$2="June",ROUND('Budget by Source'!F199/10,0)+U199,ROUND('Budget by Source'!F199/10,0))</f>
        <v>1502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4134</v>
      </c>
      <c r="I199" s="221">
        <f>IF(Notes!$B$2="June",INDEX('AEA Funding and Payments'!$A$8:$AI$332,MATCH('Payment by Source'!$A199,'AEA Funding and Payments'!$A$8:$A$332,0),34),
ROUND(INDEX('AEA Funding and Payments'!$A$8:$T$332,MATCH('Payment by Source'!$A199,'AEA Funding and Payments'!$A$8:$A$332,0),MATCH(I$5,'AEA Funding and Payments'!$A$4:$T$4,0))/10,0))</f>
        <v>633</v>
      </c>
      <c r="J199" s="221">
        <f t="shared" ref="J199:J262" si="13">K199-SUM(C199:I199)</f>
        <v>131934</v>
      </c>
      <c r="K199" s="221">
        <f>INDEX(Data[],MATCH($A199,Data[Dist],0),MATCH(K$5,Data[#Headers],0))</f>
        <v>176017</v>
      </c>
      <c r="M199" s="59">
        <f>INDEX('Payment Total'!$A$7:$H$331,MATCH('Payment by Source'!$A199,'Payment Total'!$A$7:$A$331,0),6)-K199</f>
        <v>0</v>
      </c>
      <c r="O199" s="263">
        <f t="shared" si="12"/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1322217</v>
      </c>
      <c r="X199" s="136">
        <f t="shared" ref="X199:X262" si="14">ROUND(W199/10,0)</f>
        <v>132222</v>
      </c>
      <c r="Y199" s="136">
        <f t="shared" ref="Y199:Y262" si="15">X199*10</f>
        <v>1322220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3577</v>
      </c>
      <c r="D200" s="221">
        <f>IF(Notes!$B$2="June",ROUND('Budget by Source'!D200/10,0)+S200,ROUND('Budget by Source'!D200/10,0))</f>
        <v>31859</v>
      </c>
      <c r="E200" s="221">
        <f>IF(Notes!$B$2="June",ROUND('Budget by Source'!E200/10,0)+T200,ROUND('Budget by Source'!E200/10,0))</f>
        <v>1791</v>
      </c>
      <c r="F200" s="221">
        <f>IF(Notes!$B$2="June",ROUND('Budget by Source'!F200/10,0)+U200,ROUND('Budget by Source'!F200/10,0))</f>
        <v>1598</v>
      </c>
      <c r="G200" s="221">
        <f>IF(Notes!$B$2="June",ROUND('Budget by Source'!G200/10,0)+V200,ROUND('Budget by Source'!G200/10,0))</f>
        <v>7854</v>
      </c>
      <c r="H200" s="221">
        <f>INDEX('AEA Funding and Payments'!$A$8:$T$332,MATCH('Payment by Source'!$A200,'AEA Funding and Payments'!$A$8:$A$332,0),MATCH(H$5,'AEA Funding and Payments'!$A$4:$T$4,0))</f>
        <v>4215</v>
      </c>
      <c r="I200" s="221">
        <f>IF(Notes!$B$2="June",INDEX('AEA Funding and Payments'!$A$8:$AI$332,MATCH('Payment by Source'!$A200,'AEA Funding and Payments'!$A$8:$A$332,0),34),
ROUND(INDEX('AEA Funding and Payments'!$A$8:$T$332,MATCH('Payment by Source'!$A200,'AEA Funding and Payments'!$A$8:$A$332,0),MATCH(I$5,'AEA Funding and Payments'!$A$4:$T$4,0))/10,0))</f>
        <v>645</v>
      </c>
      <c r="J200" s="221">
        <f t="shared" si="13"/>
        <v>124586</v>
      </c>
      <c r="K200" s="221">
        <f>INDEX(Data[],MATCH($A200,Data[Dist],0),MATCH(K$5,Data[#Headers],0))</f>
        <v>176125</v>
      </c>
      <c r="M200" s="59">
        <f>INDEX('Payment Total'!$A$7:$H$331,MATCH('Payment by Source'!$A200,'Payment Total'!$A$7:$A$331,0),6)-K200</f>
        <v>0</v>
      </c>
      <c r="O200" s="263">
        <f t="shared" si="12"/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1248933</v>
      </c>
      <c r="X200" s="136">
        <f t="shared" si="14"/>
        <v>124893</v>
      </c>
      <c r="Y200" s="136">
        <f t="shared" si="15"/>
        <v>1248930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11934</v>
      </c>
      <c r="D201" s="221">
        <f>IF(Notes!$B$2="June",ROUND('Budget by Source'!D201/10,0)+S201,ROUND('Budget by Source'!D201/10,0))</f>
        <v>64862</v>
      </c>
      <c r="E201" s="221">
        <f>IF(Notes!$B$2="June",ROUND('Budget by Source'!E201/10,0)+T201,ROUND('Budget by Source'!E201/10,0))</f>
        <v>5234</v>
      </c>
      <c r="F201" s="221">
        <f>IF(Notes!$B$2="June",ROUND('Budget by Source'!F201/10,0)+U201,ROUND('Budget by Source'!F201/10,0))</f>
        <v>5519</v>
      </c>
      <c r="G201" s="221">
        <f>IF(Notes!$B$2="June",ROUND('Budget by Source'!G201/10,0)+V201,ROUND('Budget by Source'!G201/10,0))</f>
        <v>22629</v>
      </c>
      <c r="H201" s="221">
        <f>INDEX('AEA Funding and Payments'!$A$8:$T$332,MATCH('Payment by Source'!$A201,'AEA Funding and Payments'!$A$8:$A$332,0),MATCH(H$5,'AEA Funding and Payments'!$A$4:$T$4,0))</f>
        <v>12860</v>
      </c>
      <c r="I201" s="221">
        <f>IF(Notes!$B$2="June",INDEX('AEA Funding and Payments'!$A$8:$AI$332,MATCH('Payment by Source'!$A201,'AEA Funding and Payments'!$A$8:$A$332,0),34),
ROUND(INDEX('AEA Funding and Payments'!$A$8:$T$332,MATCH('Payment by Source'!$A201,'AEA Funding and Payments'!$A$8:$A$332,0),MATCH(I$5,'AEA Funding and Payments'!$A$4:$T$4,0))/10,0))</f>
        <v>1984</v>
      </c>
      <c r="J201" s="221">
        <f t="shared" si="13"/>
        <v>311832</v>
      </c>
      <c r="K201" s="221">
        <f>INDEX(Data[],MATCH($A201,Data[Dist],0),MATCH(K$5,Data[#Headers],0))</f>
        <v>436854</v>
      </c>
      <c r="M201" s="59">
        <f>INDEX('Payment Total'!$A$7:$H$331,MATCH('Payment by Source'!$A201,'Payment Total'!$A$7:$A$331,0),6)-K201</f>
        <v>0</v>
      </c>
      <c r="O201" s="263">
        <f t="shared" si="12"/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3136216</v>
      </c>
      <c r="X201" s="136">
        <f t="shared" si="14"/>
        <v>313622</v>
      </c>
      <c r="Y201" s="136">
        <f t="shared" si="15"/>
        <v>3136220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29432</v>
      </c>
      <c r="D202" s="221">
        <f>IF(Notes!$B$2="June",ROUND('Budget by Source'!D202/10,0)+S202,ROUND('Budget by Source'!D202/10,0))</f>
        <v>144590</v>
      </c>
      <c r="E202" s="221">
        <f>IF(Notes!$B$2="June",ROUND('Budget by Source'!E202/10,0)+T202,ROUND('Budget by Source'!E202/10,0))</f>
        <v>15682</v>
      </c>
      <c r="F202" s="221">
        <f>IF(Notes!$B$2="June",ROUND('Budget by Source'!F202/10,0)+U202,ROUND('Budget by Source'!F202/10,0))</f>
        <v>14096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37540</v>
      </c>
      <c r="I202" s="221">
        <f>IF(Notes!$B$2="June",INDEX('AEA Funding and Payments'!$A$8:$AI$332,MATCH('Payment by Source'!$A202,'AEA Funding and Payments'!$A$8:$A$332,0),34),
ROUND(INDEX('AEA Funding and Payments'!$A$8:$T$332,MATCH('Payment by Source'!$A202,'AEA Funding and Payments'!$A$8:$A$332,0),MATCH(I$5,'AEA Funding and Payments'!$A$4:$T$4,0))/10,0))</f>
        <v>5732</v>
      </c>
      <c r="J202" s="221">
        <f t="shared" si="13"/>
        <v>1149176</v>
      </c>
      <c r="K202" s="221">
        <f>INDEX(Data[],MATCH($A202,Data[Dist],0),MATCH(K$5,Data[#Headers],0))</f>
        <v>1464217</v>
      </c>
      <c r="M202" s="59">
        <f>INDEX('Payment Total'!$A$7:$H$331,MATCH('Payment by Source'!$A202,'Payment Total'!$A$7:$A$331,0),6)-K202</f>
        <v>0</v>
      </c>
      <c r="O202" s="263">
        <f t="shared" si="12"/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11518382</v>
      </c>
      <c r="X202" s="136">
        <f t="shared" si="14"/>
        <v>1151838</v>
      </c>
      <c r="Y202" s="136">
        <f t="shared" si="15"/>
        <v>11518380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94168</v>
      </c>
      <c r="E203" s="221">
        <f>IF(Notes!$B$2="June",ROUND('Budget by Source'!E203/10,0)+T203,ROUND('Budget by Source'!E203/10,0))</f>
        <v>9337</v>
      </c>
      <c r="F203" s="221">
        <f>IF(Notes!$B$2="June",ROUND('Budget by Source'!F203/10,0)+U203,ROUND('Budget by Source'!F203/10,0))</f>
        <v>8591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21948</v>
      </c>
      <c r="I203" s="221">
        <f>IF(Notes!$B$2="June",INDEX('AEA Funding and Payments'!$A$8:$AI$332,MATCH('Payment by Source'!$A203,'AEA Funding and Payments'!$A$8:$A$332,0),34),
ROUND(INDEX('AEA Funding and Payments'!$A$8:$T$332,MATCH('Payment by Source'!$A203,'AEA Funding and Payments'!$A$8:$A$332,0),MATCH(I$5,'AEA Funding and Payments'!$A$4:$T$4,0))/10,0))</f>
        <v>3377</v>
      </c>
      <c r="J203" s="221">
        <f t="shared" si="13"/>
        <v>664267</v>
      </c>
      <c r="K203" s="221">
        <f>INDEX(Data[],MATCH($A203,Data[Dist],0),MATCH(K$5,Data[#Headers],0))</f>
        <v>865598</v>
      </c>
      <c r="M203" s="59">
        <f>INDEX('Payment Total'!$A$7:$H$331,MATCH('Payment by Source'!$A203,'Payment Total'!$A$7:$A$331,0),6)-K203</f>
        <v>0</v>
      </c>
      <c r="O203" s="263">
        <f t="shared" ref="O203:O266" si="16">SUM(C203:J203)-K203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6659088</v>
      </c>
      <c r="X203" s="136">
        <f t="shared" si="14"/>
        <v>665909</v>
      </c>
      <c r="Y203" s="136">
        <f t="shared" si="15"/>
        <v>6659090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5572</v>
      </c>
      <c r="D204" s="221">
        <f>IF(Notes!$B$2="June",ROUND('Budget by Source'!D204/10,0)+S204,ROUND('Budget by Source'!D204/10,0))</f>
        <v>34132</v>
      </c>
      <c r="E204" s="221">
        <f>IF(Notes!$B$2="June",ROUND('Budget by Source'!E204/10,0)+T204,ROUND('Budget by Source'!E204/10,0))</f>
        <v>2118</v>
      </c>
      <c r="F204" s="221">
        <f>IF(Notes!$B$2="June",ROUND('Budget by Source'!F204/10,0)+U204,ROUND('Budget by Source'!F204/10,0))</f>
        <v>1758</v>
      </c>
      <c r="G204" s="221">
        <f>IF(Notes!$B$2="June",ROUND('Budget by Source'!G204/10,0)+V204,ROUND('Budget by Source'!G204/10,0))</f>
        <v>8456</v>
      </c>
      <c r="H204" s="221">
        <f>INDEX('AEA Funding and Payments'!$A$8:$T$332,MATCH('Payment by Source'!$A204,'AEA Funding and Payments'!$A$8:$A$332,0),MATCH(H$5,'AEA Funding and Payments'!$A$4:$T$4,0))</f>
        <v>4760</v>
      </c>
      <c r="I204" s="221">
        <f>IF(Notes!$B$2="June",INDEX('AEA Funding and Payments'!$A$8:$AI$332,MATCH('Payment by Source'!$A204,'AEA Funding and Payments'!$A$8:$A$332,0),34),
ROUND(INDEX('AEA Funding and Payments'!$A$8:$T$332,MATCH('Payment by Source'!$A204,'AEA Funding and Payments'!$A$8:$A$332,0),MATCH(I$5,'AEA Funding and Payments'!$A$4:$T$4,0))/10,0))</f>
        <v>736</v>
      </c>
      <c r="J204" s="221">
        <f t="shared" si="13"/>
        <v>158442</v>
      </c>
      <c r="K204" s="221">
        <f>INDEX(Data[],MATCH($A204,Data[Dist],0),MATCH(K$5,Data[#Headers],0))</f>
        <v>215974</v>
      </c>
      <c r="M204" s="59">
        <f>INDEX('Payment Total'!$A$7:$H$331,MATCH('Payment by Source'!$A204,'Payment Total'!$A$7:$A$331,0),6)-K204</f>
        <v>0</v>
      </c>
      <c r="O204" s="263">
        <f t="shared" si="16"/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1587749</v>
      </c>
      <c r="X204" s="136">
        <f t="shared" si="14"/>
        <v>158775</v>
      </c>
      <c r="Y204" s="136">
        <f t="shared" si="15"/>
        <v>1587750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86704</v>
      </c>
      <c r="D205" s="221">
        <f>IF(Notes!$B$2="June",ROUND('Budget by Source'!D205/10,0)+S205,ROUND('Budget by Source'!D205/10,0))</f>
        <v>370861</v>
      </c>
      <c r="E205" s="221">
        <f>IF(Notes!$B$2="June",ROUND('Budget by Source'!E205/10,0)+T205,ROUND('Budget by Source'!E205/10,0))</f>
        <v>40186</v>
      </c>
      <c r="F205" s="221">
        <f>IF(Notes!$B$2="June",ROUND('Budget by Source'!F205/10,0)+U205,ROUND('Budget by Source'!F205/10,0))</f>
        <v>33369</v>
      </c>
      <c r="G205" s="221">
        <f>IF(Notes!$B$2="June",ROUND('Budget by Source'!G205/10,0)+V205,ROUND('Budget by Source'!G205/10,0))</f>
        <v>174028</v>
      </c>
      <c r="H205" s="221">
        <f>INDEX('AEA Funding and Payments'!$A$8:$T$332,MATCH('Payment by Source'!$A205,'AEA Funding and Payments'!$A$8:$A$332,0),MATCH(H$5,'AEA Funding and Payments'!$A$4:$T$4,0))</f>
        <v>94464</v>
      </c>
      <c r="I205" s="221">
        <f>IF(Notes!$B$2="June",INDEX('AEA Funding and Payments'!$A$8:$AI$332,MATCH('Payment by Source'!$A205,'AEA Funding and Payments'!$A$8:$A$332,0),34),
ROUND(INDEX('AEA Funding and Payments'!$A$8:$T$332,MATCH('Payment by Source'!$A205,'AEA Funding and Payments'!$A$8:$A$332,0),MATCH(I$5,'AEA Funding and Payments'!$A$4:$T$4,0))/10,0))</f>
        <v>14640</v>
      </c>
      <c r="J205" s="221">
        <f t="shared" si="13"/>
        <v>2930209</v>
      </c>
      <c r="K205" s="221">
        <f>INDEX(Data[],MATCH($A205,Data[Dist],0),MATCH(K$5,Data[#Headers],0))</f>
        <v>3744461</v>
      </c>
      <c r="M205" s="59">
        <f>INDEX('Payment Total'!$A$7:$H$331,MATCH('Payment by Source'!$A205,'Payment Total'!$A$7:$A$331,0),6)-K205</f>
        <v>0</v>
      </c>
      <c r="O205" s="263">
        <f t="shared" si="16"/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29367698</v>
      </c>
      <c r="X205" s="136">
        <f t="shared" si="14"/>
        <v>2936770</v>
      </c>
      <c r="Y205" s="136">
        <f t="shared" si="15"/>
        <v>29367700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16706</v>
      </c>
      <c r="D206" s="221">
        <f>IF(Notes!$B$2="June",ROUND('Budget by Source'!D206/10,0)+S206,ROUND('Budget by Source'!D206/10,0))</f>
        <v>57099</v>
      </c>
      <c r="E206" s="221">
        <f>IF(Notes!$B$2="June",ROUND('Budget by Source'!E206/10,0)+T206,ROUND('Budget by Source'!E206/10,0))</f>
        <v>4069</v>
      </c>
      <c r="F206" s="221">
        <f>IF(Notes!$B$2="June",ROUND('Budget by Source'!F206/10,0)+U206,ROUND('Budget by Source'!F206/10,0))</f>
        <v>4485</v>
      </c>
      <c r="G206" s="221">
        <f>IF(Notes!$B$2="June",ROUND('Budget by Source'!G206/10,0)+V206,ROUND('Budget by Source'!G206/10,0))</f>
        <v>22655</v>
      </c>
      <c r="H206" s="221">
        <f>INDEX('AEA Funding and Payments'!$A$8:$T$332,MATCH('Payment by Source'!$A206,'AEA Funding and Payments'!$A$8:$A$332,0),MATCH(H$5,'AEA Funding and Payments'!$A$4:$T$4,0))</f>
        <v>11915</v>
      </c>
      <c r="I206" s="221">
        <f>IF(Notes!$B$2="June",INDEX('AEA Funding and Payments'!$A$8:$AI$332,MATCH('Payment by Source'!$A206,'AEA Funding and Payments'!$A$8:$A$332,0),34),
ROUND(INDEX('AEA Funding and Payments'!$A$8:$T$332,MATCH('Payment by Source'!$A206,'AEA Funding and Payments'!$A$8:$A$332,0),MATCH(I$5,'AEA Funding and Payments'!$A$4:$T$4,0))/10,0))</f>
        <v>1917</v>
      </c>
      <c r="J206" s="221">
        <f t="shared" si="13"/>
        <v>322434</v>
      </c>
      <c r="K206" s="221">
        <f>INDEX(Data[],MATCH($A206,Data[Dist],0),MATCH(K$5,Data[#Headers],0))</f>
        <v>441280</v>
      </c>
      <c r="M206" s="59">
        <f>INDEX('Payment Total'!$A$7:$H$331,MATCH('Payment by Source'!$A206,'Payment Total'!$A$7:$A$331,0),6)-K206</f>
        <v>0</v>
      </c>
      <c r="O206" s="263">
        <f t="shared" si="16"/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3233054</v>
      </c>
      <c r="X206" s="136">
        <f t="shared" si="14"/>
        <v>323305</v>
      </c>
      <c r="Y206" s="136">
        <f t="shared" si="15"/>
        <v>3233050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121694</v>
      </c>
      <c r="E207" s="221">
        <f>IF(Notes!$B$2="June",ROUND('Budget by Source'!E207/10,0)+T207,ROUND('Budget by Source'!E207/10,0))</f>
        <v>12846</v>
      </c>
      <c r="F207" s="221">
        <f>IF(Notes!$B$2="June",ROUND('Budget by Source'!F207/10,0)+U207,ROUND('Budget by Source'!F207/10,0))</f>
        <v>11487</v>
      </c>
      <c r="G207" s="221">
        <f>IF(Notes!$B$2="June",ROUND('Budget by Source'!G207/10,0)+V207,ROUND('Budget by Source'!G207/10,0))</f>
        <v>54133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IF(Notes!$B$2="June",INDEX('AEA Funding and Payments'!$A$8:$AI$332,MATCH('Payment by Source'!$A207,'AEA Funding and Payments'!$A$8:$A$332,0),34),
ROUND(INDEX('AEA Funding and Payments'!$A$8:$T$332,MATCH('Payment by Source'!$A207,'AEA Funding and Payments'!$A$8:$A$332,0),MATCH(I$5,'AEA Funding and Payments'!$A$4:$T$4,0))/10,0))</f>
        <v>4443</v>
      </c>
      <c r="J207" s="221">
        <f t="shared" si="13"/>
        <v>848202</v>
      </c>
      <c r="K207" s="221">
        <f>INDEX(Data[],MATCH($A207,Data[Dist],0),MATCH(K$5,Data[#Headers],0))</f>
        <v>1116372</v>
      </c>
      <c r="M207" s="59">
        <f>INDEX('Payment Total'!$A$7:$H$331,MATCH('Payment by Source'!$A207,'Payment Total'!$A$7:$A$331,0),6)-K207</f>
        <v>0</v>
      </c>
      <c r="O207" s="263">
        <f t="shared" si="16"/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8503227</v>
      </c>
      <c r="X207" s="136">
        <f t="shared" si="14"/>
        <v>850323</v>
      </c>
      <c r="Y207" s="136">
        <f t="shared" si="15"/>
        <v>8503230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13525</v>
      </c>
      <c r="D208" s="221">
        <f>IF(Notes!$B$2="June",ROUND('Budget by Source'!D208/10,0)+S208,ROUND('Budget by Source'!D208/10,0))</f>
        <v>59303</v>
      </c>
      <c r="E208" s="221">
        <f>IF(Notes!$B$2="June",ROUND('Budget by Source'!E208/10,0)+T208,ROUND('Budget by Source'!E208/10,0))</f>
        <v>4176</v>
      </c>
      <c r="F208" s="221">
        <f>IF(Notes!$B$2="June",ROUND('Budget by Source'!F208/10,0)+U208,ROUND('Budget by Source'!F208/10,0))</f>
        <v>3519</v>
      </c>
      <c r="G208" s="221">
        <f>IF(Notes!$B$2="June",ROUND('Budget by Source'!G208/10,0)+V208,ROUND('Budget by Source'!G208/10,0))</f>
        <v>18109</v>
      </c>
      <c r="H208" s="221">
        <f>INDEX('AEA Funding and Payments'!$A$8:$T$332,MATCH('Payment by Source'!$A208,'AEA Funding and Payments'!$A$8:$A$332,0),MATCH(H$5,'AEA Funding and Payments'!$A$4:$T$4,0))</f>
        <v>9303</v>
      </c>
      <c r="I208" s="221">
        <f>IF(Notes!$B$2="June",INDEX('AEA Funding and Payments'!$A$8:$AI$332,MATCH('Payment by Source'!$A208,'AEA Funding and Payments'!$A$8:$A$332,0),34),
ROUND(INDEX('AEA Funding and Payments'!$A$8:$T$332,MATCH('Payment by Source'!$A208,'AEA Funding and Payments'!$A$8:$A$332,0),MATCH(I$5,'AEA Funding and Payments'!$A$4:$T$4,0))/10,0))</f>
        <v>1582</v>
      </c>
      <c r="J208" s="221">
        <f t="shared" si="13"/>
        <v>205991</v>
      </c>
      <c r="K208" s="221">
        <f>INDEX(Data[],MATCH($A208,Data[Dist],0),MATCH(K$5,Data[#Headers],0))</f>
        <v>315508</v>
      </c>
      <c r="M208" s="59">
        <f>INDEX('Payment Total'!$A$7:$H$331,MATCH('Payment by Source'!$A208,'Payment Total'!$A$7:$A$331,0),6)-K208</f>
        <v>0</v>
      </c>
      <c r="O208" s="263">
        <f t="shared" si="16"/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2066794</v>
      </c>
      <c r="X208" s="136">
        <f t="shared" si="14"/>
        <v>206679</v>
      </c>
      <c r="Y208" s="136">
        <f t="shared" si="15"/>
        <v>2066790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31418</v>
      </c>
      <c r="D209" s="221">
        <f>IF(Notes!$B$2="June",ROUND('Budget by Source'!D209/10,0)+S209,ROUND('Budget by Source'!D209/10,0))</f>
        <v>99171</v>
      </c>
      <c r="E209" s="221">
        <f>IF(Notes!$B$2="June",ROUND('Budget by Source'!E209/10,0)+T209,ROUND('Budget by Source'!E209/10,0))</f>
        <v>6921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40445</v>
      </c>
      <c r="H209" s="221">
        <f>INDEX('AEA Funding and Payments'!$A$8:$T$332,MATCH('Payment by Source'!$A209,'AEA Funding and Payments'!$A$8:$A$332,0),MATCH(H$5,'AEA Funding and Payments'!$A$4:$T$4,0))</f>
        <v>20401</v>
      </c>
      <c r="I209" s="221">
        <f>IF(Notes!$B$2="June",INDEX('AEA Funding and Payments'!$A$8:$AI$332,MATCH('Payment by Source'!$A209,'AEA Funding and Payments'!$A$8:$A$332,0),34),
ROUND(INDEX('AEA Funding and Payments'!$A$8:$T$332,MATCH('Payment by Source'!$A209,'AEA Funding and Payments'!$A$8:$A$332,0),MATCH(I$5,'AEA Funding and Payments'!$A$4:$T$4,0))/10,0))</f>
        <v>3328</v>
      </c>
      <c r="J209" s="221">
        <f t="shared" si="13"/>
        <v>515702</v>
      </c>
      <c r="K209" s="221">
        <f>INDEX(Data[],MATCH($A209,Data[Dist],0),MATCH(K$5,Data[#Headers],0))</f>
        <v>725438</v>
      </c>
      <c r="M209" s="59">
        <f>INDEX('Payment Total'!$A$7:$H$331,MATCH('Payment by Source'!$A209,'Payment Total'!$A$7:$A$331,0),6)-K209</f>
        <v>0</v>
      </c>
      <c r="O209" s="263">
        <f t="shared" si="16"/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5172002</v>
      </c>
      <c r="X209" s="136">
        <f t="shared" si="14"/>
        <v>517200</v>
      </c>
      <c r="Y209" s="136">
        <f t="shared" si="15"/>
        <v>5172000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6758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4662</v>
      </c>
      <c r="F210" s="221">
        <f>IF(Notes!$B$2="June",ROUND('Budget by Source'!F210/10,0)+U210,ROUND('Budget by Source'!F210/10,0))</f>
        <v>4148</v>
      </c>
      <c r="G210" s="221">
        <f>IF(Notes!$B$2="June",ROUND('Budget by Source'!G210/10,0)+V210,ROUND('Budget by Source'!G210/10,0))</f>
        <v>21266</v>
      </c>
      <c r="H210" s="221">
        <f>INDEX('AEA Funding and Payments'!$A$8:$T$332,MATCH('Payment by Source'!$A210,'AEA Funding and Payments'!$A$8:$A$332,0),MATCH(H$5,'AEA Funding and Payments'!$A$4:$T$4,0))</f>
        <v>11533</v>
      </c>
      <c r="I210" s="221">
        <f>IF(Notes!$B$2="June",INDEX('AEA Funding and Payments'!$A$8:$AI$332,MATCH('Payment by Source'!$A210,'AEA Funding and Payments'!$A$8:$A$332,0),34),
ROUND(INDEX('AEA Funding and Payments'!$A$8:$T$332,MATCH('Payment by Source'!$A210,'AEA Funding and Payments'!$A$8:$A$332,0),MATCH(I$5,'AEA Funding and Payments'!$A$4:$T$4,0))/10,0))</f>
        <v>1760</v>
      </c>
      <c r="J210" s="221">
        <f t="shared" si="13"/>
        <v>392839</v>
      </c>
      <c r="K210" s="221">
        <f>INDEX(Data[],MATCH($A210,Data[Dist],0),MATCH(K$5,Data[#Headers],0))</f>
        <v>497949</v>
      </c>
      <c r="M210" s="59">
        <f>INDEX('Payment Total'!$A$7:$H$331,MATCH('Payment by Source'!$A210,'Payment Total'!$A$7:$A$331,0),6)-K210</f>
        <v>0</v>
      </c>
      <c r="O210" s="263">
        <f t="shared" si="16"/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3936683</v>
      </c>
      <c r="X210" s="136">
        <f t="shared" si="14"/>
        <v>393668</v>
      </c>
      <c r="Y210" s="136">
        <f t="shared" si="15"/>
        <v>3936680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29827</v>
      </c>
      <c r="D211" s="221">
        <f>IF(Notes!$B$2="June",ROUND('Budget by Source'!D211/10,0)+S211,ROUND('Budget by Source'!D211/10,0))</f>
        <v>224820</v>
      </c>
      <c r="E211" s="221">
        <f>IF(Notes!$B$2="June",ROUND('Budget by Source'!E211/10,0)+T211,ROUND('Budget by Source'!E211/10,0))</f>
        <v>25616</v>
      </c>
      <c r="F211" s="221">
        <f>IF(Notes!$B$2="June",ROUND('Budget by Source'!F211/10,0)+U211,ROUND('Budget by Source'!F211/10,0))</f>
        <v>22122</v>
      </c>
      <c r="G211" s="221">
        <f>IF(Notes!$B$2="June",ROUND('Budget by Source'!G211/10,0)+V211,ROUND('Budget by Source'!G211/10,0))</f>
        <v>113419</v>
      </c>
      <c r="H211" s="221">
        <f>INDEX('AEA Funding and Payments'!$A$8:$T$332,MATCH('Payment by Source'!$A211,'AEA Funding and Payments'!$A$8:$A$332,0),MATCH(H$5,'AEA Funding and Payments'!$A$4:$T$4,0))</f>
        <v>63347</v>
      </c>
      <c r="I211" s="221">
        <f>IF(Notes!$B$2="June",INDEX('AEA Funding and Payments'!$A$8:$AI$332,MATCH('Payment by Source'!$A211,'AEA Funding and Payments'!$A$8:$A$332,0),34),
ROUND(INDEX('AEA Funding and Payments'!$A$8:$T$332,MATCH('Payment by Source'!$A211,'AEA Funding and Payments'!$A$8:$A$332,0),MATCH(I$5,'AEA Funding and Payments'!$A$4:$T$4,0))/10,0))</f>
        <v>9547</v>
      </c>
      <c r="J211" s="221">
        <f t="shared" si="13"/>
        <v>2002976</v>
      </c>
      <c r="K211" s="221">
        <f>INDEX(Data[],MATCH($A211,Data[Dist],0),MATCH(K$5,Data[#Headers],0))</f>
        <v>2491674</v>
      </c>
      <c r="M211" s="59">
        <f>INDEX('Payment Total'!$A$7:$H$331,MATCH('Payment by Source'!$A211,'Payment Total'!$A$7:$A$331,0),6)-K211</f>
        <v>0</v>
      </c>
      <c r="O211" s="263">
        <f t="shared" si="16"/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20072925</v>
      </c>
      <c r="X211" s="136">
        <f t="shared" si="14"/>
        <v>2007293</v>
      </c>
      <c r="Y211" s="136">
        <f t="shared" si="15"/>
        <v>20072930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83764</v>
      </c>
      <c r="E212" s="221">
        <f>IF(Notes!$B$2="June",ROUND('Budget by Source'!E212/10,0)+T212,ROUND('Budget by Source'!E212/10,0))</f>
        <v>6067</v>
      </c>
      <c r="F212" s="221">
        <f>IF(Notes!$B$2="June",ROUND('Budget by Source'!F212/10,0)+U212,ROUND('Budget by Source'!F212/10,0))</f>
        <v>6454</v>
      </c>
      <c r="G212" s="221">
        <f>IF(Notes!$B$2="June",ROUND('Budget by Source'!G212/10,0)+V212,ROUND('Budget by Source'!G212/10,0))</f>
        <v>30927</v>
      </c>
      <c r="H212" s="221">
        <f>INDEX('AEA Funding and Payments'!$A$8:$T$332,MATCH('Payment by Source'!$A212,'AEA Funding and Payments'!$A$8:$A$332,0),MATCH(H$5,'AEA Funding and Payments'!$A$4:$T$4,0))</f>
        <v>16440</v>
      </c>
      <c r="I212" s="221">
        <f>IF(Notes!$B$2="June",INDEX('AEA Funding and Payments'!$A$8:$AI$332,MATCH('Payment by Source'!$A212,'AEA Funding and Payments'!$A$8:$A$332,0),34),
ROUND(INDEX('AEA Funding and Payments'!$A$8:$T$332,MATCH('Payment by Source'!$A212,'AEA Funding and Payments'!$A$8:$A$332,0),MATCH(I$5,'AEA Funding and Payments'!$A$4:$T$4,0))/10,0))</f>
        <v>2577</v>
      </c>
      <c r="J212" s="221">
        <f t="shared" si="13"/>
        <v>408795</v>
      </c>
      <c r="K212" s="221">
        <f>INDEX(Data[],MATCH($A212,Data[Dist],0),MATCH(K$5,Data[#Headers],0))</f>
        <v>568945</v>
      </c>
      <c r="M212" s="59">
        <f>INDEX('Payment Total'!$A$7:$H$331,MATCH('Payment by Source'!$A212,'Payment Total'!$A$7:$A$331,0),6)-K212</f>
        <v>0</v>
      </c>
      <c r="O212" s="263">
        <f t="shared" si="16"/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4099641</v>
      </c>
      <c r="X212" s="136">
        <f t="shared" si="14"/>
        <v>409964</v>
      </c>
      <c r="Y212" s="136">
        <f t="shared" si="15"/>
        <v>4099640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13525</v>
      </c>
      <c r="D213" s="221">
        <f>IF(Notes!$B$2="June",ROUND('Budget by Source'!D213/10,0)+S213,ROUND('Budget by Source'!D213/10,0))</f>
        <v>74165</v>
      </c>
      <c r="E213" s="221">
        <f>IF(Notes!$B$2="June",ROUND('Budget by Source'!E213/10,0)+T213,ROUND('Budget by Source'!E213/10,0))</f>
        <v>4414</v>
      </c>
      <c r="F213" s="221">
        <f>IF(Notes!$B$2="June",ROUND('Budget by Source'!F213/10,0)+U213,ROUND('Budget by Source'!F213/10,0))</f>
        <v>4114</v>
      </c>
      <c r="G213" s="221">
        <f>IF(Notes!$B$2="June",ROUND('Budget by Source'!G213/10,0)+V213,ROUND('Budget by Source'!G213/10,0))</f>
        <v>19139</v>
      </c>
      <c r="H213" s="221">
        <f>INDEX('AEA Funding and Payments'!$A$8:$T$332,MATCH('Payment by Source'!$A213,'AEA Funding and Payments'!$A$8:$A$332,0),MATCH(H$5,'AEA Funding and Payments'!$A$4:$T$4,0))</f>
        <v>10346</v>
      </c>
      <c r="I213" s="221">
        <f>IF(Notes!$B$2="June",INDEX('AEA Funding and Payments'!$A$8:$AI$332,MATCH('Payment by Source'!$A213,'AEA Funding and Payments'!$A$8:$A$332,0),34),
ROUND(INDEX('AEA Funding and Payments'!$A$8:$T$332,MATCH('Payment by Source'!$A213,'AEA Funding and Payments'!$A$8:$A$332,0),MATCH(I$5,'AEA Funding and Payments'!$A$4:$T$4,0))/10,0))</f>
        <v>1650</v>
      </c>
      <c r="J213" s="221">
        <f t="shared" si="13"/>
        <v>275020</v>
      </c>
      <c r="K213" s="221">
        <f>INDEX(Data[],MATCH($A213,Data[Dist],0),MATCH(K$5,Data[#Headers],0))</f>
        <v>402373</v>
      </c>
      <c r="M213" s="59">
        <f>INDEX('Payment Total'!$A$7:$H$331,MATCH('Payment by Source'!$A213,'Payment Total'!$A$7:$A$331,0),6)-K213</f>
        <v>0</v>
      </c>
      <c r="O213" s="263">
        <f t="shared" si="16"/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2757574</v>
      </c>
      <c r="X213" s="136">
        <f t="shared" si="14"/>
        <v>275757</v>
      </c>
      <c r="Y213" s="136">
        <f t="shared" si="15"/>
        <v>2757570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22269</v>
      </c>
      <c r="D214" s="221">
        <f>IF(Notes!$B$2="June",ROUND('Budget by Source'!D214/10,0)+S214,ROUND('Budget by Source'!D214/10,0))</f>
        <v>97373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8483</v>
      </c>
      <c r="G214" s="221">
        <f>IF(Notes!$B$2="June",ROUND('Budget by Source'!G214/10,0)+V214,ROUND('Budget by Source'!G214/10,0))</f>
        <v>42779</v>
      </c>
      <c r="H214" s="221">
        <f>INDEX('AEA Funding and Payments'!$A$8:$T$332,MATCH('Payment by Source'!$A214,'AEA Funding and Payments'!$A$8:$A$332,0),MATCH(H$5,'AEA Funding and Payments'!$A$4:$T$4,0))</f>
        <v>24651</v>
      </c>
      <c r="I214" s="221">
        <f>IF(Notes!$B$2="June",INDEX('AEA Funding and Payments'!$A$8:$AI$332,MATCH('Payment by Source'!$A214,'AEA Funding and Payments'!$A$8:$A$332,0),34),
ROUND(INDEX('AEA Funding and Payments'!$A$8:$T$332,MATCH('Payment by Source'!$A214,'AEA Funding and Payments'!$A$8:$A$332,0),MATCH(I$5,'AEA Funding and Payments'!$A$4:$T$4,0))/10,0))</f>
        <v>4017</v>
      </c>
      <c r="J214" s="221">
        <f t="shared" si="13"/>
        <v>696695</v>
      </c>
      <c r="K214" s="221">
        <f>INDEX(Data[],MATCH($A214,Data[Dist],0),MATCH(K$5,Data[#Headers],0))</f>
        <v>904846</v>
      </c>
      <c r="M214" s="59">
        <f>INDEX('Payment Total'!$A$7:$H$331,MATCH('Payment by Source'!$A214,'Payment Total'!$A$7:$A$331,0),6)-K214</f>
        <v>0</v>
      </c>
      <c r="O214" s="263">
        <f t="shared" si="16"/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6983708</v>
      </c>
      <c r="X214" s="136">
        <f t="shared" si="14"/>
        <v>698371</v>
      </c>
      <c r="Y214" s="136">
        <f t="shared" si="15"/>
        <v>6983710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8753</v>
      </c>
      <c r="D215" s="221">
        <f>IF(Notes!$B$2="June",ROUND('Budget by Source'!D215/10,0)+S215,ROUND('Budget by Source'!D215/10,0))</f>
        <v>68138</v>
      </c>
      <c r="E215" s="221">
        <f>IF(Notes!$B$2="June",ROUND('Budget by Source'!E215/10,0)+T215,ROUND('Budget by Source'!E215/10,0))</f>
        <v>4497</v>
      </c>
      <c r="F215" s="221">
        <f>IF(Notes!$B$2="June",ROUND('Budget by Source'!F215/10,0)+U215,ROUND('Budget by Source'!F215/10,0))</f>
        <v>3885</v>
      </c>
      <c r="G215" s="221">
        <f>IF(Notes!$B$2="June",ROUND('Budget by Source'!G215/10,0)+V215,ROUND('Budget by Source'!G215/10,0))</f>
        <v>19362</v>
      </c>
      <c r="H215" s="221">
        <f>INDEX('AEA Funding and Payments'!$A$8:$T$332,MATCH('Payment by Source'!$A215,'AEA Funding and Payments'!$A$8:$A$332,0),MATCH(H$5,'AEA Funding and Payments'!$A$4:$T$4,0))</f>
        <v>9824</v>
      </c>
      <c r="I215" s="221">
        <f>IF(Notes!$B$2="June",INDEX('AEA Funding and Payments'!$A$8:$AI$332,MATCH('Payment by Source'!$A215,'AEA Funding and Payments'!$A$8:$A$332,0),34),
ROUND(INDEX('AEA Funding and Payments'!$A$8:$T$332,MATCH('Payment by Source'!$A215,'AEA Funding and Payments'!$A$8:$A$332,0),MATCH(I$5,'AEA Funding and Payments'!$A$4:$T$4,0))/10,0))</f>
        <v>1558</v>
      </c>
      <c r="J215" s="221">
        <f t="shared" si="13"/>
        <v>226887</v>
      </c>
      <c r="K215" s="221">
        <f>INDEX(Data[],MATCH($A215,Data[Dist],0),MATCH(K$5,Data[#Headers],0))</f>
        <v>342904</v>
      </c>
      <c r="M215" s="59">
        <f>INDEX('Payment Total'!$A$7:$H$331,MATCH('Payment by Source'!$A215,'Payment Total'!$A$7:$A$331,0),6)-K215</f>
        <v>0</v>
      </c>
      <c r="O215" s="263">
        <f t="shared" si="16"/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2275957</v>
      </c>
      <c r="X215" s="136">
        <f t="shared" si="14"/>
        <v>227596</v>
      </c>
      <c r="Y215" s="136">
        <f t="shared" si="15"/>
        <v>2275960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10344</v>
      </c>
      <c r="D216" s="221">
        <f>IF(Notes!$B$2="June",ROUND('Budget by Source'!D216/10,0)+S216,ROUND('Budget by Source'!D216/10,0))</f>
        <v>54008</v>
      </c>
      <c r="E216" s="221">
        <f>IF(Notes!$B$2="June",ROUND('Budget by Source'!E216/10,0)+T216,ROUND('Budget by Source'!E216/10,0))</f>
        <v>4059</v>
      </c>
      <c r="F216" s="221">
        <f>IF(Notes!$B$2="June",ROUND('Budget by Source'!F216/10,0)+U216,ROUND('Budget by Source'!F216/10,0))</f>
        <v>4019</v>
      </c>
      <c r="G216" s="221">
        <f>IF(Notes!$B$2="June",ROUND('Budget by Source'!G216/10,0)+V216,ROUND('Budget by Source'!G216/10,0))</f>
        <v>21669</v>
      </c>
      <c r="H216" s="221">
        <f>INDEX('AEA Funding and Payments'!$A$8:$T$332,MATCH('Payment by Source'!$A216,'AEA Funding and Payments'!$A$8:$A$332,0),MATCH(H$5,'AEA Funding and Payments'!$A$4:$T$4,0))</f>
        <v>11334</v>
      </c>
      <c r="I216" s="221">
        <f>IF(Notes!$B$2="June",INDEX('AEA Funding and Payments'!$A$8:$AI$332,MATCH('Payment by Source'!$A216,'AEA Funding and Payments'!$A$8:$A$332,0),34),
ROUND(INDEX('AEA Funding and Payments'!$A$8:$T$332,MATCH('Payment by Source'!$A216,'AEA Funding and Payments'!$A$8:$A$332,0),MATCH(I$5,'AEA Funding and Payments'!$A$4:$T$4,0))/10,0))</f>
        <v>1798</v>
      </c>
      <c r="J216" s="221">
        <f t="shared" si="13"/>
        <v>298726</v>
      </c>
      <c r="K216" s="221">
        <f>INDEX(Data[],MATCH($A216,Data[Dist],0),MATCH(K$5,Data[#Headers],0))</f>
        <v>405957</v>
      </c>
      <c r="M216" s="59">
        <f>INDEX('Payment Total'!$A$7:$H$331,MATCH('Payment by Source'!$A216,'Payment Total'!$A$7:$A$331,0),6)-K216</f>
        <v>0</v>
      </c>
      <c r="O216" s="263">
        <f t="shared" si="16"/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2995773</v>
      </c>
      <c r="X216" s="136">
        <f t="shared" si="14"/>
        <v>299577</v>
      </c>
      <c r="Y216" s="136">
        <f t="shared" si="15"/>
        <v>2995770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8753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1807</v>
      </c>
      <c r="F217" s="221">
        <f>IF(Notes!$B$2="June",ROUND('Budget by Source'!F217/10,0)+U217,ROUND('Budget by Source'!F217/10,0))</f>
        <v>1974</v>
      </c>
      <c r="G217" s="221">
        <f>IF(Notes!$B$2="June",ROUND('Budget by Source'!G217/10,0)+V217,ROUND('Budget by Source'!G217/10,0))</f>
        <v>9639</v>
      </c>
      <c r="H217" s="221">
        <f>INDEX('AEA Funding and Payments'!$A$8:$T$332,MATCH('Payment by Source'!$A217,'AEA Funding and Payments'!$A$8:$A$332,0),MATCH(H$5,'AEA Funding and Payments'!$A$4:$T$4,0))</f>
        <v>4980</v>
      </c>
      <c r="I217" s="221">
        <f>IF(Notes!$B$2="June",INDEX('AEA Funding and Payments'!$A$8:$AI$332,MATCH('Payment by Source'!$A217,'AEA Funding and Payments'!$A$8:$A$332,0),34),
ROUND(INDEX('AEA Funding and Payments'!$A$8:$T$332,MATCH('Payment by Source'!$A217,'AEA Funding and Payments'!$A$8:$A$332,0),MATCH(I$5,'AEA Funding and Payments'!$A$4:$T$4,0))/10,0))</f>
        <v>930</v>
      </c>
      <c r="J217" s="221">
        <f t="shared" si="13"/>
        <v>30705</v>
      </c>
      <c r="K217" s="221">
        <f>INDEX(Data[],MATCH($A217,Data[Dist],0),MATCH(K$5,Data[#Headers],0))</f>
        <v>95126</v>
      </c>
      <c r="M217" s="59">
        <f>INDEX('Payment Total'!$A$7:$H$331,MATCH('Payment by Source'!$A217,'Payment Total'!$A$7:$A$331,0),6)-K217</f>
        <v>0</v>
      </c>
      <c r="O217" s="263">
        <f t="shared" si="16"/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310573</v>
      </c>
      <c r="X217" s="136">
        <f t="shared" si="14"/>
        <v>31057</v>
      </c>
      <c r="Y217" s="136">
        <f t="shared" si="15"/>
        <v>310570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43352</v>
      </c>
      <c r="D218" s="221">
        <f>IF(Notes!$B$2="June",ROUND('Budget by Source'!D218/10,0)+S218,ROUND('Budget by Source'!D218/10,0))</f>
        <v>175196</v>
      </c>
      <c r="E218" s="221">
        <f>IF(Notes!$B$2="June",ROUND('Budget by Source'!E218/10,0)+T218,ROUND('Budget by Source'!E218/10,0))</f>
        <v>15167</v>
      </c>
      <c r="F218" s="221">
        <f>IF(Notes!$B$2="June",ROUND('Budget by Source'!F218/10,0)+U218,ROUND('Budget by Source'!F218/10,0))</f>
        <v>15115</v>
      </c>
      <c r="G218" s="221">
        <f>IF(Notes!$B$2="June",ROUND('Budget by Source'!G218/10,0)+V218,ROUND('Budget by Source'!G218/10,0))</f>
        <v>85676</v>
      </c>
      <c r="H218" s="221">
        <f>INDEX('AEA Funding and Payments'!$A$8:$T$332,MATCH('Payment by Source'!$A218,'AEA Funding and Payments'!$A$8:$A$332,0),MATCH(H$5,'AEA Funding and Payments'!$A$4:$T$4,0))</f>
        <v>44722</v>
      </c>
      <c r="I218" s="221">
        <f>IF(Notes!$B$2="June",INDEX('AEA Funding and Payments'!$A$8:$AI$332,MATCH('Payment by Source'!$A218,'AEA Funding and Payments'!$A$8:$A$332,0),34),
ROUND(INDEX('AEA Funding and Payments'!$A$8:$T$332,MATCH('Payment by Source'!$A218,'AEA Funding and Payments'!$A$8:$A$332,0),MATCH(I$5,'AEA Funding and Payments'!$A$4:$T$4,0))/10,0))</f>
        <v>6681</v>
      </c>
      <c r="J218" s="221">
        <f t="shared" si="13"/>
        <v>1386946</v>
      </c>
      <c r="K218" s="221">
        <f>INDEX(Data[],MATCH($A218,Data[Dist],0),MATCH(K$5,Data[#Headers],0))</f>
        <v>1772855</v>
      </c>
      <c r="M218" s="59">
        <f>INDEX('Payment Total'!$A$7:$H$331,MATCH('Payment by Source'!$A218,'Payment Total'!$A$7:$A$331,0),6)-K218</f>
        <v>0</v>
      </c>
      <c r="O218" s="263">
        <f t="shared" si="16"/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13902852</v>
      </c>
      <c r="X218" s="136">
        <f t="shared" si="14"/>
        <v>1390285</v>
      </c>
      <c r="Y218" s="136">
        <f t="shared" si="15"/>
        <v>13902850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53301</v>
      </c>
      <c r="D219" s="221">
        <f>IF(Notes!$B$2="June",ROUND('Budget by Source'!D219/10,0)+S219,ROUND('Budget by Source'!D219/10,0))</f>
        <v>239784</v>
      </c>
      <c r="E219" s="221">
        <f>IF(Notes!$B$2="June",ROUND('Budget by Source'!E219/10,0)+T219,ROUND('Budget by Source'!E219/10,0))</f>
        <v>22611</v>
      </c>
      <c r="F219" s="221">
        <f>IF(Notes!$B$2="June",ROUND('Budget by Source'!F219/10,0)+U219,ROUND('Budget by Source'!F219/10,0))</f>
        <v>22990</v>
      </c>
      <c r="G219" s="221">
        <f>IF(Notes!$B$2="June",ROUND('Budget by Source'!G219/10,0)+V219,ROUND('Budget by Source'!G219/10,0))</f>
        <v>116827</v>
      </c>
      <c r="H219" s="221">
        <f>INDEX('AEA Funding and Payments'!$A$8:$T$332,MATCH('Payment by Source'!$A219,'AEA Funding and Payments'!$A$8:$A$332,0),MATCH(H$5,'AEA Funding and Payments'!$A$4:$T$4,0))</f>
        <v>61107</v>
      </c>
      <c r="I219" s="221">
        <f>IF(Notes!$B$2="June",INDEX('AEA Funding and Payments'!$A$8:$AI$332,MATCH('Payment by Source'!$A219,'AEA Funding and Payments'!$A$8:$A$332,0),34),
ROUND(INDEX('AEA Funding and Payments'!$A$8:$T$332,MATCH('Payment by Source'!$A219,'AEA Funding and Payments'!$A$8:$A$332,0),MATCH(I$5,'AEA Funding and Payments'!$A$4:$T$4,0))/10,0))</f>
        <v>9470</v>
      </c>
      <c r="J219" s="221">
        <f t="shared" si="13"/>
        <v>1583020</v>
      </c>
      <c r="K219" s="221">
        <f>INDEX(Data[],MATCH($A219,Data[Dist],0),MATCH(K$5,Data[#Headers],0))</f>
        <v>2109110</v>
      </c>
      <c r="M219" s="59">
        <f>INDEX('Payment Total'!$A$7:$H$331,MATCH('Payment by Source'!$A219,'Payment Total'!$A$7:$A$331,0),6)-K219</f>
        <v>0</v>
      </c>
      <c r="O219" s="263">
        <f t="shared" si="16"/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15875609</v>
      </c>
      <c r="X219" s="136">
        <f t="shared" si="14"/>
        <v>1587561</v>
      </c>
      <c r="Y219" s="136">
        <f t="shared" si="15"/>
        <v>15875610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9939</v>
      </c>
      <c r="D220" s="221">
        <f>IF(Notes!$B$2="June",ROUND('Budget by Source'!D220/10,0)+S220,ROUND('Budget by Source'!D220/10,0))</f>
        <v>55556</v>
      </c>
      <c r="E220" s="221">
        <f>IF(Notes!$B$2="June",ROUND('Budget by Source'!E220/10,0)+T220,ROUND('Budget by Source'!E220/10,0))</f>
        <v>3532</v>
      </c>
      <c r="F220" s="221">
        <f>IF(Notes!$B$2="June",ROUND('Budget by Source'!F220/10,0)+U220,ROUND('Budget by Source'!F220/10,0))</f>
        <v>3656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9510</v>
      </c>
      <c r="I220" s="221">
        <f>IF(Notes!$B$2="June",INDEX('AEA Funding and Payments'!$A$8:$AI$332,MATCH('Payment by Source'!$A220,'AEA Funding and Payments'!$A$8:$A$332,0),34),
ROUND(INDEX('AEA Funding and Payments'!$A$8:$T$332,MATCH('Payment by Source'!$A220,'AEA Funding and Payments'!$A$8:$A$332,0),MATCH(I$5,'AEA Funding and Payments'!$A$4:$T$4,0))/10,0))</f>
        <v>1485</v>
      </c>
      <c r="J220" s="221">
        <f t="shared" si="13"/>
        <v>238539</v>
      </c>
      <c r="K220" s="221">
        <f>INDEX(Data[],MATCH($A220,Data[Dist],0),MATCH(K$5,Data[#Headers],0))</f>
        <v>339713</v>
      </c>
      <c r="M220" s="59">
        <f>INDEX('Payment Total'!$A$7:$H$331,MATCH('Payment by Source'!$A220,'Payment Total'!$A$7:$A$331,0),6)-K220</f>
        <v>0</v>
      </c>
      <c r="O220" s="263">
        <f t="shared" si="16"/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2392179</v>
      </c>
      <c r="X220" s="136">
        <f t="shared" si="14"/>
        <v>239218</v>
      </c>
      <c r="Y220" s="136">
        <f t="shared" si="15"/>
        <v>2392180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15907</v>
      </c>
      <c r="D221" s="221">
        <f>IF(Notes!$B$2="June",ROUND('Budget by Source'!D221/10,0)+S221,ROUND('Budget by Source'!D221/10,0))</f>
        <v>52958</v>
      </c>
      <c r="E221" s="221">
        <f>IF(Notes!$B$2="June",ROUND('Budget by Source'!E221/10,0)+T221,ROUND('Budget by Source'!E221/10,0))</f>
        <v>3487</v>
      </c>
      <c r="F221" s="221">
        <f>IF(Notes!$B$2="June",ROUND('Budget by Source'!F221/10,0)+U221,ROUND('Budget by Source'!F221/10,0))</f>
        <v>3900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IF(Notes!$B$2="June",INDEX('AEA Funding and Payments'!$A$8:$AI$332,MATCH('Payment by Source'!$A221,'AEA Funding and Payments'!$A$8:$A$332,0),34),
ROUND(INDEX('AEA Funding and Payments'!$A$8:$T$332,MATCH('Payment by Source'!$A221,'AEA Funding and Payments'!$A$8:$A$332,0),MATCH(I$5,'AEA Funding and Payments'!$A$4:$T$4,0))/10,0))</f>
        <v>1683</v>
      </c>
      <c r="J221" s="221">
        <f t="shared" si="13"/>
        <v>195591</v>
      </c>
      <c r="K221" s="221">
        <f>INDEX(Data[],MATCH($A221,Data[Dist],0),MATCH(K$5,Data[#Headers],0))</f>
        <v>303085</v>
      </c>
      <c r="M221" s="59">
        <f>INDEX('Payment Total'!$A$7:$H$331,MATCH('Payment by Source'!$A221,'Payment Total'!$A$7:$A$331,0),6)-K221</f>
        <v>0</v>
      </c>
      <c r="O221" s="263">
        <f t="shared" si="16"/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2287372</v>
      </c>
      <c r="X221" s="136">
        <f t="shared" si="14"/>
        <v>228737</v>
      </c>
      <c r="Y221" s="136">
        <f t="shared" si="15"/>
        <v>2287370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46534</v>
      </c>
      <c r="D222" s="221">
        <f>IF(Notes!$B$2="June",ROUND('Budget by Source'!D222/10,0)+S222,ROUND('Budget by Source'!D222/10,0))</f>
        <v>271045</v>
      </c>
      <c r="E222" s="221">
        <f>IF(Notes!$B$2="June",ROUND('Budget by Source'!E222/10,0)+T222,ROUND('Budget by Source'!E222/10,0))</f>
        <v>26326</v>
      </c>
      <c r="F222" s="221">
        <f>IF(Notes!$B$2="June",ROUND('Budget by Source'!F222/10,0)+U222,ROUND('Budget by Source'!F222/10,0))</f>
        <v>25998</v>
      </c>
      <c r="G222" s="221">
        <f>IF(Notes!$B$2="June",ROUND('Budget by Source'!G222/10,0)+V222,ROUND('Budget by Source'!G222/10,0))</f>
        <v>136938</v>
      </c>
      <c r="H222" s="221">
        <f>INDEX('AEA Funding and Payments'!$A$8:$T$332,MATCH('Payment by Source'!$A222,'AEA Funding and Payments'!$A$8:$A$332,0),MATCH(H$5,'AEA Funding and Payments'!$A$4:$T$4,0))</f>
        <v>72398</v>
      </c>
      <c r="I222" s="221">
        <f>IF(Notes!$B$2="June",INDEX('AEA Funding and Payments'!$A$8:$AI$332,MATCH('Payment by Source'!$A222,'AEA Funding and Payments'!$A$8:$A$332,0),34),
ROUND(INDEX('AEA Funding and Payments'!$A$8:$T$332,MATCH('Payment by Source'!$A222,'AEA Funding and Payments'!$A$8:$A$332,0),MATCH(I$5,'AEA Funding and Payments'!$A$4:$T$4,0))/10,0))</f>
        <v>10813</v>
      </c>
      <c r="J222" s="221">
        <f t="shared" si="13"/>
        <v>2294084</v>
      </c>
      <c r="K222" s="221">
        <f>INDEX(Data[],MATCH($A222,Data[Dist],0),MATCH(K$5,Data[#Headers],0))</f>
        <v>2884136</v>
      </c>
      <c r="M222" s="59">
        <f>INDEX('Payment Total'!$A$7:$H$331,MATCH('Payment by Source'!$A222,'Payment Total'!$A$7:$A$331,0),6)-K222</f>
        <v>0</v>
      </c>
      <c r="O222" s="263">
        <f t="shared" si="16"/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22993271</v>
      </c>
      <c r="X222" s="136">
        <f t="shared" si="14"/>
        <v>2299327</v>
      </c>
      <c r="Y222" s="136">
        <f t="shared" si="15"/>
        <v>22993270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10344</v>
      </c>
      <c r="D223" s="221">
        <f>IF(Notes!$B$2="June",ROUND('Budget by Source'!D223/10,0)+S223,ROUND('Budget by Source'!D223/10,0))</f>
        <v>75587</v>
      </c>
      <c r="E223" s="221">
        <f>IF(Notes!$B$2="June",ROUND('Budget by Source'!E223/10,0)+T223,ROUND('Budget by Source'!E223/10,0))</f>
        <v>5252</v>
      </c>
      <c r="F223" s="221">
        <f>IF(Notes!$B$2="June",ROUND('Budget by Source'!F223/10,0)+U223,ROUND('Budget by Source'!F223/10,0))</f>
        <v>5446</v>
      </c>
      <c r="G223" s="221">
        <f>IF(Notes!$B$2="June",ROUND('Budget by Source'!G223/10,0)+V223,ROUND('Budget by Source'!G223/10,0))</f>
        <v>28050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IF(Notes!$B$2="June",INDEX('AEA Funding and Payments'!$A$8:$AI$332,MATCH('Payment by Source'!$A223,'AEA Funding and Payments'!$A$8:$A$332,0),34),
ROUND(INDEX('AEA Funding and Payments'!$A$8:$T$332,MATCH('Payment by Source'!$A223,'AEA Funding and Payments'!$A$8:$A$332,0),MATCH(I$5,'AEA Funding and Payments'!$A$4:$T$4,0))/10,0))</f>
        <v>2446</v>
      </c>
      <c r="J223" s="221">
        <f t="shared" si="13"/>
        <v>401119</v>
      </c>
      <c r="K223" s="221">
        <f>INDEX(Data[],MATCH($A223,Data[Dist],0),MATCH(K$5,Data[#Headers],0))</f>
        <v>544108</v>
      </c>
      <c r="M223" s="59">
        <f>INDEX('Payment Total'!$A$7:$H$331,MATCH('Payment by Source'!$A223,'Payment Total'!$A$7:$A$331,0),6)-K223</f>
        <v>0</v>
      </c>
      <c r="O223" s="263">
        <f t="shared" si="16"/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4022236</v>
      </c>
      <c r="X223" s="136">
        <f t="shared" si="14"/>
        <v>402224</v>
      </c>
      <c r="Y223" s="136">
        <f t="shared" si="15"/>
        <v>4022240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17497</v>
      </c>
      <c r="D224" s="221">
        <f>IF(Notes!$B$2="June",ROUND('Budget by Source'!D224/10,0)+S224,ROUND('Budget by Source'!D224/10,0))</f>
        <v>88854</v>
      </c>
      <c r="E224" s="221">
        <f>IF(Notes!$B$2="June",ROUND('Budget by Source'!E224/10,0)+T224,ROUND('Budget by Source'!E224/10,0))</f>
        <v>7339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35720</v>
      </c>
      <c r="H224" s="221">
        <f>INDEX('AEA Funding and Payments'!$A$8:$T$332,MATCH('Payment by Source'!$A224,'AEA Funding and Payments'!$A$8:$A$332,0),MATCH(H$5,'AEA Funding and Payments'!$A$4:$T$4,0))</f>
        <v>19544</v>
      </c>
      <c r="I224" s="221">
        <f>IF(Notes!$B$2="June",INDEX('AEA Funding and Payments'!$A$8:$AI$332,MATCH('Payment by Source'!$A224,'AEA Funding and Payments'!$A$8:$A$332,0),34),
ROUND(INDEX('AEA Funding and Payments'!$A$8:$T$332,MATCH('Payment by Source'!$A224,'AEA Funding and Payments'!$A$8:$A$332,0),MATCH(I$5,'AEA Funding and Payments'!$A$4:$T$4,0))/10,0))</f>
        <v>3100</v>
      </c>
      <c r="J224" s="221">
        <f t="shared" si="13"/>
        <v>451854</v>
      </c>
      <c r="K224" s="221">
        <f>INDEX(Data[],MATCH($A224,Data[Dist],0),MATCH(K$5,Data[#Headers],0))</f>
        <v>631667</v>
      </c>
      <c r="M224" s="59">
        <f>INDEX('Payment Total'!$A$7:$H$331,MATCH('Payment by Source'!$A224,'Payment Total'!$A$7:$A$331,0),6)-K224</f>
        <v>0</v>
      </c>
      <c r="O224" s="263">
        <f t="shared" si="16"/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4532340</v>
      </c>
      <c r="X224" s="136">
        <f t="shared" si="14"/>
        <v>453234</v>
      </c>
      <c r="Y224" s="136">
        <f t="shared" si="15"/>
        <v>4532340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108668</v>
      </c>
      <c r="E225" s="221">
        <f>IF(Notes!$B$2="June",ROUND('Budget by Source'!E225/10,0)+T225,ROUND('Budget by Source'!E225/10,0))</f>
        <v>10597</v>
      </c>
      <c r="F225" s="221">
        <f>IF(Notes!$B$2="June",ROUND('Budget by Source'!F225/10,0)+U225,ROUND('Budget by Source'!F225/10,0))</f>
        <v>10337</v>
      </c>
      <c r="G225" s="221">
        <f>IF(Notes!$B$2="June",ROUND('Budget by Source'!G225/10,0)+V225,ROUND('Budget by Source'!G225/10,0))</f>
        <v>50125</v>
      </c>
      <c r="H225" s="221">
        <f>INDEX('AEA Funding and Payments'!$A$8:$T$332,MATCH('Payment by Source'!$A225,'AEA Funding and Payments'!$A$8:$A$332,0),MATCH(H$5,'AEA Funding and Payments'!$A$4:$T$4,0))</f>
        <v>28177</v>
      </c>
      <c r="I225" s="221">
        <f>IF(Notes!$B$2="June",INDEX('AEA Funding and Payments'!$A$8:$AI$332,MATCH('Payment by Source'!$A225,'AEA Funding and Payments'!$A$8:$A$332,0),34),
ROUND(INDEX('AEA Funding and Payments'!$A$8:$T$332,MATCH('Payment by Source'!$A225,'AEA Funding and Payments'!$A$8:$A$332,0),MATCH(I$5,'AEA Funding and Payments'!$A$4:$T$4,0))/10,0))</f>
        <v>4765</v>
      </c>
      <c r="J225" s="221">
        <f t="shared" si="13"/>
        <v>948889</v>
      </c>
      <c r="K225" s="221">
        <f>INDEX(Data[],MATCH($A225,Data[Dist],0),MATCH(K$5,Data[#Headers],0))</f>
        <v>1175479</v>
      </c>
      <c r="M225" s="59">
        <f>INDEX('Payment Total'!$A$7:$H$331,MATCH('Payment by Source'!$A225,'Payment Total'!$A$7:$A$331,0),6)-K225</f>
        <v>0</v>
      </c>
      <c r="O225" s="263">
        <f t="shared" si="16"/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9508218</v>
      </c>
      <c r="X225" s="136">
        <f t="shared" si="14"/>
        <v>950822</v>
      </c>
      <c r="Y225" s="136">
        <f t="shared" si="15"/>
        <v>9508220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18297</v>
      </c>
      <c r="D226" s="221">
        <f>IF(Notes!$B$2="June",ROUND('Budget by Source'!D226/10,0)+S226,ROUND('Budget by Source'!D226/10,0))</f>
        <v>59898</v>
      </c>
      <c r="E226" s="221">
        <f>IF(Notes!$B$2="June",ROUND('Budget by Source'!E226/10,0)+T226,ROUND('Budget by Source'!E226/10,0))</f>
        <v>4530</v>
      </c>
      <c r="F226" s="221">
        <f>IF(Notes!$B$2="June",ROUND('Budget by Source'!F226/10,0)+U226,ROUND('Budget by Source'!F226/10,0))</f>
        <v>4536</v>
      </c>
      <c r="G226" s="221">
        <f>IF(Notes!$B$2="June",ROUND('Budget by Source'!G226/10,0)+V226,ROUND('Budget by Source'!G226/10,0))</f>
        <v>22602</v>
      </c>
      <c r="H226" s="221">
        <f>INDEX('AEA Funding and Payments'!$A$8:$T$332,MATCH('Payment by Source'!$A226,'AEA Funding and Payments'!$A$8:$A$332,0),MATCH(H$5,'AEA Funding and Payments'!$A$4:$T$4,0))</f>
        <v>10888</v>
      </c>
      <c r="I226" s="221">
        <f>IF(Notes!$B$2="June",INDEX('AEA Funding and Payments'!$A$8:$AI$332,MATCH('Payment by Source'!$A226,'AEA Funding and Payments'!$A$8:$A$332,0),34),
ROUND(INDEX('AEA Funding and Payments'!$A$8:$T$332,MATCH('Payment by Source'!$A226,'AEA Funding and Payments'!$A$8:$A$332,0),MATCH(I$5,'AEA Funding and Payments'!$A$4:$T$4,0))/10,0))</f>
        <v>1762</v>
      </c>
      <c r="J226" s="221">
        <f t="shared" si="13"/>
        <v>219482</v>
      </c>
      <c r="K226" s="221">
        <f>INDEX(Data[],MATCH($A226,Data[Dist],0),MATCH(K$5,Data[#Headers],0))</f>
        <v>341995</v>
      </c>
      <c r="M226" s="59">
        <f>INDEX('Payment Total'!$A$7:$H$331,MATCH('Payment by Source'!$A226,'Payment Total'!$A$7:$A$331,0),6)-K226</f>
        <v>0</v>
      </c>
      <c r="O226" s="263">
        <f t="shared" si="16"/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2203185</v>
      </c>
      <c r="X226" s="136">
        <f t="shared" si="14"/>
        <v>220319</v>
      </c>
      <c r="Y226" s="136">
        <f t="shared" si="15"/>
        <v>2203190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24264</v>
      </c>
      <c r="D227" s="221">
        <f>IF(Notes!$B$2="June",ROUND('Budget by Source'!D227/10,0)+S227,ROUND('Budget by Source'!D227/10,0))</f>
        <v>105787</v>
      </c>
      <c r="E227" s="221">
        <f>IF(Notes!$B$2="June",ROUND('Budget by Source'!E227/10,0)+T227,ROUND('Budget by Source'!E227/10,0))</f>
        <v>8039</v>
      </c>
      <c r="F227" s="221">
        <f>IF(Notes!$B$2="June",ROUND('Budget by Source'!F227/10,0)+U227,ROUND('Budget by Source'!F227/10,0))</f>
        <v>8127</v>
      </c>
      <c r="G227" s="221">
        <f>IF(Notes!$B$2="June",ROUND('Budget by Source'!G227/10,0)+V227,ROUND('Budget by Source'!G227/10,0))</f>
        <v>39582</v>
      </c>
      <c r="H227" s="221">
        <f>INDEX('AEA Funding and Payments'!$A$8:$T$332,MATCH('Payment by Source'!$A227,'AEA Funding and Payments'!$A$8:$A$332,0),MATCH(H$5,'AEA Funding and Payments'!$A$4:$T$4,0))</f>
        <v>21447</v>
      </c>
      <c r="I227" s="221">
        <f>IF(Notes!$B$2="June",INDEX('AEA Funding and Payments'!$A$8:$AI$332,MATCH('Payment by Source'!$A227,'AEA Funding and Payments'!$A$8:$A$332,0),34),
ROUND(INDEX('AEA Funding and Payments'!$A$8:$T$332,MATCH('Payment by Source'!$A227,'AEA Funding and Payments'!$A$8:$A$332,0),MATCH(I$5,'AEA Funding and Payments'!$A$4:$T$4,0))/10,0))</f>
        <v>3438</v>
      </c>
      <c r="J227" s="221">
        <f t="shared" si="13"/>
        <v>-135555</v>
      </c>
      <c r="K227" s="221">
        <f>INDEX(Data[],MATCH($A227,Data[Dist],0),MATCH(K$5,Data[#Headers],0))</f>
        <v>75129</v>
      </c>
      <c r="M227" s="59">
        <f>INDEX('Payment Total'!$A$7:$H$331,MATCH('Payment by Source'!$A227,'Payment Total'!$A$7:$A$331,0),6)-K227</f>
        <v>0</v>
      </c>
      <c r="O227" s="263">
        <f t="shared" si="16"/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-1340236</v>
      </c>
      <c r="X227" s="136">
        <f t="shared" si="14"/>
        <v>-134024</v>
      </c>
      <c r="Y227" s="136">
        <f t="shared" si="15"/>
        <v>-1340240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5167</v>
      </c>
      <c r="D228" s="221">
        <f>IF(Notes!$B$2="June",ROUND('Budget by Source'!D228/10,0)+S228,ROUND('Budget by Source'!D228/10,0))</f>
        <v>30141</v>
      </c>
      <c r="E228" s="221">
        <f>IF(Notes!$B$2="June",ROUND('Budget by Source'!E228/10,0)+T228,ROUND('Budget by Source'!E228/10,0))</f>
        <v>1680</v>
      </c>
      <c r="F228" s="221">
        <f>IF(Notes!$B$2="June",ROUND('Budget by Source'!F228/10,0)+U228,ROUND('Budget by Source'!F228/10,0))</f>
        <v>1697</v>
      </c>
      <c r="G228" s="221">
        <f>IF(Notes!$B$2="June",ROUND('Budget by Source'!G228/10,0)+V228,ROUND('Budget by Source'!G228/10,0))</f>
        <v>7667</v>
      </c>
      <c r="H228" s="221">
        <f>INDEX('AEA Funding and Payments'!$A$8:$T$332,MATCH('Payment by Source'!$A228,'AEA Funding and Payments'!$A$8:$A$332,0),MATCH(H$5,'AEA Funding and Payments'!$A$4:$T$4,0))</f>
        <v>4168</v>
      </c>
      <c r="I228" s="221">
        <f>IF(Notes!$B$2="June",INDEX('AEA Funding and Payments'!$A$8:$AI$332,MATCH('Payment by Source'!$A228,'AEA Funding and Payments'!$A$8:$A$332,0),34),
ROUND(INDEX('AEA Funding and Payments'!$A$8:$T$332,MATCH('Payment by Source'!$A228,'AEA Funding and Payments'!$A$8:$A$332,0),MATCH(I$5,'AEA Funding and Payments'!$A$4:$T$4,0))/10,0))</f>
        <v>662</v>
      </c>
      <c r="J228" s="221">
        <f t="shared" si="13"/>
        <v>115886</v>
      </c>
      <c r="K228" s="221">
        <f>INDEX(Data[],MATCH($A228,Data[Dist],0),MATCH(K$5,Data[#Headers],0))</f>
        <v>167068</v>
      </c>
      <c r="M228" s="59">
        <f>INDEX('Payment Total'!$A$7:$H$331,MATCH('Payment by Source'!$A228,'Payment Total'!$A$7:$A$331,0),6)-K228</f>
        <v>0</v>
      </c>
      <c r="O228" s="263">
        <f t="shared" si="16"/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1161770</v>
      </c>
      <c r="X228" s="136">
        <f t="shared" si="14"/>
        <v>116177</v>
      </c>
      <c r="Y228" s="136">
        <f t="shared" si="15"/>
        <v>1161770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3981</v>
      </c>
      <c r="D229" s="221">
        <f>IF(Notes!$B$2="June",ROUND('Budget by Source'!D229/10,0)+S229,ROUND('Budget by Source'!D229/10,0))</f>
        <v>29101</v>
      </c>
      <c r="E229" s="221">
        <f>IF(Notes!$B$2="June",ROUND('Budget by Source'!E229/10,0)+T229,ROUND('Budget by Source'!E229/10,0))</f>
        <v>1104</v>
      </c>
      <c r="F229" s="221">
        <f>IF(Notes!$B$2="June",ROUND('Budget by Source'!F229/10,0)+U229,ROUND('Budget by Source'!F229/10,0))</f>
        <v>1516</v>
      </c>
      <c r="G229" s="221">
        <f>IF(Notes!$B$2="June",ROUND('Budget by Source'!G229/10,0)+V229,ROUND('Budget by Source'!G229/10,0))</f>
        <v>6264</v>
      </c>
      <c r="H229" s="221">
        <f>INDEX('AEA Funding and Payments'!$A$8:$T$332,MATCH('Payment by Source'!$A229,'AEA Funding and Payments'!$A$8:$A$332,0),MATCH(H$5,'AEA Funding and Payments'!$A$4:$T$4,0))</f>
        <v>2987</v>
      </c>
      <c r="I229" s="221">
        <f>IF(Notes!$B$2="June",INDEX('AEA Funding and Payments'!$A$8:$AI$332,MATCH('Payment by Source'!$A229,'AEA Funding and Payments'!$A$8:$A$332,0),34),
ROUND(INDEX('AEA Funding and Payments'!$A$8:$T$332,MATCH('Payment by Source'!$A229,'AEA Funding and Payments'!$A$8:$A$332,0),MATCH(I$5,'AEA Funding and Payments'!$A$4:$T$4,0))/10,0))</f>
        <v>631</v>
      </c>
      <c r="J229" s="221">
        <f t="shared" si="13"/>
        <v>10569</v>
      </c>
      <c r="K229" s="221">
        <f>INDEX(Data[],MATCH($A229,Data[Dist],0),MATCH(K$5,Data[#Headers],0))</f>
        <v>56153</v>
      </c>
      <c r="M229" s="59">
        <f>INDEX('Payment Total'!$A$7:$H$331,MATCH('Payment by Source'!$A229,'Payment Total'!$A$7:$A$331,0),6)-K229</f>
        <v>0</v>
      </c>
      <c r="O229" s="263">
        <f t="shared" si="16"/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107789</v>
      </c>
      <c r="X229" s="136">
        <f t="shared" si="14"/>
        <v>10779</v>
      </c>
      <c r="Y229" s="136">
        <f t="shared" si="15"/>
        <v>107790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88461</v>
      </c>
      <c r="E230" s="221">
        <f>IF(Notes!$B$2="June",ROUND('Budget by Source'!E230/10,0)+T230,ROUND('Budget by Source'!E230/10,0))</f>
        <v>6633</v>
      </c>
      <c r="F230" s="221">
        <f>IF(Notes!$B$2="June",ROUND('Budget by Source'!F230/10,0)+U230,ROUND('Budget by Source'!F230/10,0))</f>
        <v>6898</v>
      </c>
      <c r="G230" s="221">
        <f>IF(Notes!$B$2="June",ROUND('Budget by Source'!G230/10,0)+V230,ROUND('Budget by Source'!G230/10,0))</f>
        <v>34153</v>
      </c>
      <c r="H230" s="221">
        <f>INDEX('AEA Funding and Payments'!$A$8:$T$332,MATCH('Payment by Source'!$A230,'AEA Funding and Payments'!$A$8:$A$332,0),MATCH(H$5,'AEA Funding and Payments'!$A$4:$T$4,0))</f>
        <v>17918</v>
      </c>
      <c r="I230" s="221">
        <f>IF(Notes!$B$2="June",INDEX('AEA Funding and Payments'!$A$8:$AI$332,MATCH('Payment by Source'!$A230,'AEA Funding and Payments'!$A$8:$A$332,0),34),
ROUND(INDEX('AEA Funding and Payments'!$A$8:$T$332,MATCH('Payment by Source'!$A230,'AEA Funding and Payments'!$A$8:$A$332,0),MATCH(I$5,'AEA Funding and Payments'!$A$4:$T$4,0))/10,0))</f>
        <v>2829</v>
      </c>
      <c r="J230" s="221">
        <f t="shared" si="13"/>
        <v>485276</v>
      </c>
      <c r="K230" s="221">
        <f>INDEX(Data[],MATCH($A230,Data[Dist],0),MATCH(K$5,Data[#Headers],0))</f>
        <v>665237</v>
      </c>
      <c r="M230" s="59">
        <f>INDEX('Payment Total'!$A$7:$H$331,MATCH('Payment by Source'!$A230,'Payment Total'!$A$7:$A$331,0),6)-K230</f>
        <v>0</v>
      </c>
      <c r="O230" s="263">
        <f t="shared" si="16"/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4866233</v>
      </c>
      <c r="X230" s="136">
        <f t="shared" si="14"/>
        <v>486623</v>
      </c>
      <c r="Y230" s="136">
        <f t="shared" si="15"/>
        <v>4866230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51306</v>
      </c>
      <c r="D231" s="221">
        <f>IF(Notes!$B$2="June",ROUND('Budget by Source'!D231/10,0)+S231,ROUND('Budget by Source'!D231/10,0))</f>
        <v>214078</v>
      </c>
      <c r="E231" s="221">
        <f>IF(Notes!$B$2="June",ROUND('Budget by Source'!E231/10,0)+T231,ROUND('Budget by Source'!E231/10,0))</f>
        <v>20481</v>
      </c>
      <c r="F231" s="221">
        <f>IF(Notes!$B$2="June",ROUND('Budget by Source'!F231/10,0)+U231,ROUND('Budget by Source'!F231/10,0))</f>
        <v>18461</v>
      </c>
      <c r="G231" s="221">
        <f>IF(Notes!$B$2="June",ROUND('Budget by Source'!G231/10,0)+V231,ROUND('Budget by Source'!G231/10,0))</f>
        <v>90700</v>
      </c>
      <c r="H231" s="221">
        <f>INDEX('AEA Funding and Payments'!$A$8:$T$332,MATCH('Payment by Source'!$A231,'AEA Funding and Payments'!$A$8:$A$332,0),MATCH(H$5,'AEA Funding and Payments'!$A$4:$T$4,0))</f>
        <v>46087</v>
      </c>
      <c r="I231" s="221">
        <f>IF(Notes!$B$2="June",INDEX('AEA Funding and Payments'!$A$8:$AI$332,MATCH('Payment by Source'!$A231,'AEA Funding and Payments'!$A$8:$A$332,0),34),
ROUND(INDEX('AEA Funding and Payments'!$A$8:$T$332,MATCH('Payment by Source'!$A231,'AEA Funding and Payments'!$A$8:$A$332,0),MATCH(I$5,'AEA Funding and Payments'!$A$4:$T$4,0))/10,0))</f>
        <v>7035</v>
      </c>
      <c r="J231" s="221">
        <f t="shared" si="13"/>
        <v>1425134</v>
      </c>
      <c r="K231" s="221">
        <f>INDEX(Data[],MATCH($A231,Data[Dist],0),MATCH(K$5,Data[#Headers],0))</f>
        <v>1873282</v>
      </c>
      <c r="M231" s="59">
        <f>INDEX('Payment Total'!$A$7:$H$331,MATCH('Payment by Source'!$A231,'Payment Total'!$A$7:$A$331,0),6)-K231</f>
        <v>0</v>
      </c>
      <c r="O231" s="263">
        <f t="shared" si="16"/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14284742</v>
      </c>
      <c r="X231" s="136">
        <f t="shared" si="14"/>
        <v>1428474</v>
      </c>
      <c r="Y231" s="136">
        <f t="shared" si="15"/>
        <v>14284740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100625</v>
      </c>
      <c r="D232" s="221">
        <f>IF(Notes!$B$2="June",ROUND('Budget by Source'!D232/10,0)+S232,ROUND('Budget by Source'!D232/10,0))</f>
        <v>386612</v>
      </c>
      <c r="E232" s="221">
        <f>IF(Notes!$B$2="June",ROUND('Budget by Source'!E232/10,0)+T232,ROUND('Budget by Source'!E232/10,0))</f>
        <v>49177</v>
      </c>
      <c r="F232" s="221">
        <f>IF(Notes!$B$2="June",ROUND('Budget by Source'!F232/10,0)+U232,ROUND('Budget by Source'!F232/10,0))</f>
        <v>39606</v>
      </c>
      <c r="G232" s="221">
        <f>IF(Notes!$B$2="June",ROUND('Budget by Source'!G232/10,0)+V232,ROUND('Budget by Source'!G232/10,0))</f>
        <v>202632</v>
      </c>
      <c r="H232" s="221">
        <f>INDEX('AEA Funding and Payments'!$A$8:$T$332,MATCH('Payment by Source'!$A232,'AEA Funding and Payments'!$A$8:$A$332,0),MATCH(H$5,'AEA Funding and Payments'!$A$4:$T$4,0))</f>
        <v>110109</v>
      </c>
      <c r="I232" s="221">
        <f>IF(Notes!$B$2="June",INDEX('AEA Funding and Payments'!$A$8:$AI$332,MATCH('Payment by Source'!$A232,'AEA Funding and Payments'!$A$8:$A$332,0),34),
ROUND(INDEX('AEA Funding and Payments'!$A$8:$T$332,MATCH('Payment by Source'!$A232,'AEA Funding and Payments'!$A$8:$A$332,0),MATCH(I$5,'AEA Funding and Payments'!$A$4:$T$4,0))/10,0))</f>
        <v>16816</v>
      </c>
      <c r="J232" s="221">
        <f t="shared" si="13"/>
        <v>4190342</v>
      </c>
      <c r="K232" s="221">
        <f>INDEX(Data[],MATCH($A232,Data[Dist],0),MATCH(K$5,Data[#Headers],0))</f>
        <v>5095919</v>
      </c>
      <c r="M232" s="59">
        <f>INDEX('Payment Total'!$A$7:$H$331,MATCH('Payment by Source'!$A232,'Payment Total'!$A$7:$A$331,0),6)-K232</f>
        <v>0</v>
      </c>
      <c r="O232" s="263">
        <f t="shared" si="16"/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41981230</v>
      </c>
      <c r="X232" s="136">
        <f t="shared" si="14"/>
        <v>4198123</v>
      </c>
      <c r="Y232" s="136">
        <f t="shared" si="15"/>
        <v>41981230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4653</v>
      </c>
      <c r="F233" s="221">
        <f>IF(Notes!$B$2="June",ROUND('Budget by Source'!F233/10,0)+U233,ROUND('Budget by Source'!F233/10,0))</f>
        <v>4384</v>
      </c>
      <c r="G233" s="221">
        <f>IF(Notes!$B$2="June",ROUND('Budget by Source'!G233/10,0)+V233,ROUND('Budget by Source'!G233/10,0))</f>
        <v>24866</v>
      </c>
      <c r="H233" s="221">
        <f>INDEX('AEA Funding and Payments'!$A$8:$T$332,MATCH('Payment by Source'!$A233,'AEA Funding and Payments'!$A$8:$A$332,0),MATCH(H$5,'AEA Funding and Payments'!$A$4:$T$4,0))</f>
        <v>13989</v>
      </c>
      <c r="I233" s="221">
        <f>IF(Notes!$B$2="June",INDEX('AEA Funding and Payments'!$A$8:$AI$332,MATCH('Payment by Source'!$A233,'AEA Funding and Payments'!$A$8:$A$332,0),34),
ROUND(INDEX('AEA Funding and Payments'!$A$8:$T$332,MATCH('Payment by Source'!$A233,'AEA Funding and Payments'!$A$8:$A$332,0),MATCH(I$5,'AEA Funding and Payments'!$A$4:$T$4,0))/10,0))</f>
        <v>2089</v>
      </c>
      <c r="J233" s="221">
        <f t="shared" si="13"/>
        <v>252018</v>
      </c>
      <c r="K233" s="221">
        <f>INDEX(Data[],MATCH($A233,Data[Dist],0),MATCH(K$5,Data[#Headers],0))</f>
        <v>379260</v>
      </c>
      <c r="M233" s="59">
        <f>INDEX('Payment Total'!$A$7:$H$331,MATCH('Payment by Source'!$A233,'Payment Total'!$A$7:$A$331,0),6)-K233</f>
        <v>0</v>
      </c>
      <c r="O233" s="263">
        <f t="shared" si="16"/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2529852</v>
      </c>
      <c r="X233" s="136">
        <f t="shared" si="14"/>
        <v>252985</v>
      </c>
      <c r="Y233" s="136">
        <f t="shared" si="15"/>
        <v>2529850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3577</v>
      </c>
      <c r="D234" s="221">
        <f>IF(Notes!$B$2="June",ROUND('Budget by Source'!D234/10,0)+S234,ROUND('Budget by Source'!D234/10,0))</f>
        <v>24636</v>
      </c>
      <c r="E234" s="221">
        <f>IF(Notes!$B$2="June",ROUND('Budget by Source'!E234/10,0)+T234,ROUND('Budget by Source'!E234/10,0))</f>
        <v>1607</v>
      </c>
      <c r="F234" s="221">
        <f>IF(Notes!$B$2="June",ROUND('Budget by Source'!F234/10,0)+U234,ROUND('Budget by Source'!F234/10,0))</f>
        <v>1232</v>
      </c>
      <c r="G234" s="221">
        <f>IF(Notes!$B$2="June",ROUND('Budget by Source'!G234/10,0)+V234,ROUND('Budget by Source'!G234/10,0))</f>
        <v>7316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IF(Notes!$B$2="June",INDEX('AEA Funding and Payments'!$A$8:$AI$332,MATCH('Payment by Source'!$A234,'AEA Funding and Payments'!$A$8:$A$332,0),34),
ROUND(INDEX('AEA Funding and Payments'!$A$8:$T$332,MATCH('Payment by Source'!$A234,'AEA Funding and Payments'!$A$8:$A$332,0),MATCH(I$5,'AEA Funding and Payments'!$A$4:$T$4,0))/10,0))</f>
        <v>608</v>
      </c>
      <c r="J234" s="221">
        <f t="shared" si="13"/>
        <v>82075</v>
      </c>
      <c r="K234" s="221">
        <f>INDEX(Data[],MATCH($A234,Data[Dist],0),MATCH(K$5,Data[#Headers],0))</f>
        <v>124839</v>
      </c>
      <c r="M234" s="59">
        <f>INDEX('Payment Total'!$A$7:$H$331,MATCH('Payment by Source'!$A234,'Payment Total'!$A$7:$A$331,0),6)-K234</f>
        <v>0</v>
      </c>
      <c r="O234" s="263">
        <f t="shared" si="16"/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823457</v>
      </c>
      <c r="X234" s="136">
        <f t="shared" si="14"/>
        <v>82346</v>
      </c>
      <c r="Y234" s="136">
        <f t="shared" si="15"/>
        <v>823460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9149</v>
      </c>
      <c r="D235" s="221">
        <f>IF(Notes!$B$2="June",ROUND('Budget by Source'!D235/10,0)+S235,ROUND('Budget by Source'!D235/10,0))</f>
        <v>71337</v>
      </c>
      <c r="E235" s="221">
        <f>IF(Notes!$B$2="June",ROUND('Budget by Source'!E235/10,0)+T235,ROUND('Budget by Source'!E235/10,0))</f>
        <v>4762</v>
      </c>
      <c r="F235" s="221">
        <f>IF(Notes!$B$2="June",ROUND('Budget by Source'!F235/10,0)+U235,ROUND('Budget by Source'!F235/10,0))</f>
        <v>5375</v>
      </c>
      <c r="G235" s="221">
        <f>IF(Notes!$B$2="June",ROUND('Budget by Source'!G235/10,0)+V235,ROUND('Budget by Source'!G235/10,0))</f>
        <v>25227</v>
      </c>
      <c r="H235" s="221">
        <f>INDEX('AEA Funding and Payments'!$A$8:$T$332,MATCH('Payment by Source'!$A235,'AEA Funding and Payments'!$A$8:$A$332,0),MATCH(H$5,'AEA Funding and Payments'!$A$4:$T$4,0))</f>
        <v>12856</v>
      </c>
      <c r="I235" s="221">
        <f>IF(Notes!$B$2="June",INDEX('AEA Funding and Payments'!$A$8:$AI$332,MATCH('Payment by Source'!$A235,'AEA Funding and Payments'!$A$8:$A$332,0),34),
ROUND(INDEX('AEA Funding and Payments'!$A$8:$T$332,MATCH('Payment by Source'!$A235,'AEA Funding and Payments'!$A$8:$A$332,0),MATCH(I$5,'AEA Funding and Payments'!$A$4:$T$4,0))/10,0))</f>
        <v>2035</v>
      </c>
      <c r="J235" s="221">
        <f t="shared" si="13"/>
        <v>90172</v>
      </c>
      <c r="K235" s="221">
        <f>INDEX(Data[],MATCH($A235,Data[Dist],0),MATCH(K$5,Data[#Headers],0))</f>
        <v>220913</v>
      </c>
      <c r="M235" s="59">
        <f>INDEX('Payment Total'!$A$7:$H$331,MATCH('Payment by Source'!$A235,'Payment Total'!$A$7:$A$331,0),6)-K235</f>
        <v>0</v>
      </c>
      <c r="O235" s="263">
        <f t="shared" si="16"/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910454</v>
      </c>
      <c r="X235" s="136">
        <f t="shared" si="14"/>
        <v>91045</v>
      </c>
      <c r="Y235" s="136">
        <f t="shared" si="15"/>
        <v>910450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13525</v>
      </c>
      <c r="D236" s="221">
        <f>IF(Notes!$B$2="June",ROUND('Budget by Source'!D236/10,0)+S236,ROUND('Budget by Source'!D236/10,0))</f>
        <v>56667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4182</v>
      </c>
      <c r="G236" s="221">
        <f>IF(Notes!$B$2="June",ROUND('Budget by Source'!G236/10,0)+V236,ROUND('Budget by Source'!G236/10,0))</f>
        <v>20963</v>
      </c>
      <c r="H236" s="221">
        <f>INDEX('AEA Funding and Payments'!$A$8:$T$332,MATCH('Payment by Source'!$A236,'AEA Funding and Payments'!$A$8:$A$332,0),MATCH(H$5,'AEA Funding and Payments'!$A$4:$T$4,0))</f>
        <v>11040</v>
      </c>
      <c r="I236" s="221">
        <f>IF(Notes!$B$2="June",INDEX('AEA Funding and Payments'!$A$8:$AI$332,MATCH('Payment by Source'!$A236,'AEA Funding and Payments'!$A$8:$A$332,0),34),
ROUND(INDEX('AEA Funding and Payments'!$A$8:$T$332,MATCH('Payment by Source'!$A236,'AEA Funding and Payments'!$A$8:$A$332,0),MATCH(I$5,'AEA Funding and Payments'!$A$4:$T$4,0))/10,0))</f>
        <v>1745</v>
      </c>
      <c r="J236" s="221">
        <f t="shared" si="13"/>
        <v>247206</v>
      </c>
      <c r="K236" s="221">
        <f>INDEX(Data[],MATCH($A236,Data[Dist],0),MATCH(K$5,Data[#Headers],0))</f>
        <v>359674</v>
      </c>
      <c r="M236" s="59">
        <f>INDEX('Payment Total'!$A$7:$H$331,MATCH('Payment by Source'!$A236,'Payment Total'!$A$7:$A$331,0),6)-K236</f>
        <v>0</v>
      </c>
      <c r="O236" s="263">
        <f t="shared" si="16"/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2479964</v>
      </c>
      <c r="X236" s="136">
        <f t="shared" si="14"/>
        <v>247996</v>
      </c>
      <c r="Y236" s="136">
        <f t="shared" si="15"/>
        <v>2479960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51710</v>
      </c>
      <c r="D237" s="221">
        <f>IF(Notes!$B$2="June",ROUND('Budget by Source'!D237/10,0)+S237,ROUND('Budget by Source'!D237/10,0))</f>
        <v>208823</v>
      </c>
      <c r="E237" s="221">
        <f>IF(Notes!$B$2="June",ROUND('Budget by Source'!E237/10,0)+T237,ROUND('Budget by Source'!E237/10,0))</f>
        <v>20156</v>
      </c>
      <c r="F237" s="221">
        <f>IF(Notes!$B$2="June",ROUND('Budget by Source'!F237/10,0)+U237,ROUND('Budget by Source'!F237/10,0))</f>
        <v>18691</v>
      </c>
      <c r="G237" s="221">
        <f>IF(Notes!$B$2="June",ROUND('Budget by Source'!G237/10,0)+V237,ROUND('Budget by Source'!G237/10,0))</f>
        <v>101283</v>
      </c>
      <c r="H237" s="221">
        <f>INDEX('AEA Funding and Payments'!$A$8:$T$332,MATCH('Payment by Source'!$A237,'AEA Funding and Payments'!$A$8:$A$332,0),MATCH(H$5,'AEA Funding and Payments'!$A$4:$T$4,0))</f>
        <v>45289</v>
      </c>
      <c r="I237" s="221">
        <f>IF(Notes!$B$2="June",INDEX('AEA Funding and Payments'!$A$8:$AI$332,MATCH('Payment by Source'!$A237,'AEA Funding and Payments'!$A$8:$A$332,0),34),
ROUND(INDEX('AEA Funding and Payments'!$A$8:$T$332,MATCH('Payment by Source'!$A237,'AEA Funding and Payments'!$A$8:$A$332,0),MATCH(I$5,'AEA Funding and Payments'!$A$4:$T$4,0))/10,0))</f>
        <v>6763</v>
      </c>
      <c r="J237" s="221">
        <f t="shared" si="13"/>
        <v>1158260</v>
      </c>
      <c r="K237" s="221">
        <f>INDEX(Data[],MATCH($A237,Data[Dist],0),MATCH(K$5,Data[#Headers],0))</f>
        <v>1610975</v>
      </c>
      <c r="M237" s="59">
        <f>INDEX('Payment Total'!$A$7:$H$331,MATCH('Payment by Source'!$A237,'Payment Total'!$A$7:$A$331,0),6)-K237</f>
        <v>0</v>
      </c>
      <c r="O237" s="263">
        <f t="shared" si="16"/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11615122</v>
      </c>
      <c r="X237" s="136">
        <f t="shared" si="14"/>
        <v>1161512</v>
      </c>
      <c r="Y237" s="136">
        <f t="shared" si="15"/>
        <v>11615120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25855</v>
      </c>
      <c r="D238" s="221">
        <f>IF(Notes!$B$2="June",ROUND('Budget by Source'!D238/10,0)+S238,ROUND('Budget by Source'!D238/10,0))</f>
        <v>159304</v>
      </c>
      <c r="E238" s="221">
        <f>IF(Notes!$B$2="June",ROUND('Budget by Source'!E238/10,0)+T238,ROUND('Budget by Source'!E238/10,0))</f>
        <v>19528</v>
      </c>
      <c r="F238" s="221">
        <f>IF(Notes!$B$2="June",ROUND('Budget by Source'!F238/10,0)+U238,ROUND('Budget by Source'!F238/10,0))</f>
        <v>14741</v>
      </c>
      <c r="G238" s="221">
        <f>IF(Notes!$B$2="June",ROUND('Budget by Source'!G238/10,0)+V238,ROUND('Budget by Source'!G238/10,0))</f>
        <v>74550</v>
      </c>
      <c r="H238" s="221">
        <f>INDEX('AEA Funding and Payments'!$A$8:$T$332,MATCH('Payment by Source'!$A238,'AEA Funding and Payments'!$A$8:$A$332,0),MATCH(H$5,'AEA Funding and Payments'!$A$4:$T$4,0))</f>
        <v>38898</v>
      </c>
      <c r="I238" s="221">
        <f>IF(Notes!$B$2="June",INDEX('AEA Funding and Payments'!$A$8:$AI$332,MATCH('Payment by Source'!$A238,'AEA Funding and Payments'!$A$8:$A$332,0),34),
ROUND(INDEX('AEA Funding and Payments'!$A$8:$T$332,MATCH('Payment by Source'!$A238,'AEA Funding and Payments'!$A$8:$A$332,0),MATCH(I$5,'AEA Funding and Payments'!$A$4:$T$4,0))/10,0))</f>
        <v>6107</v>
      </c>
      <c r="J238" s="221">
        <f t="shared" si="13"/>
        <v>1402140</v>
      </c>
      <c r="K238" s="221">
        <f>INDEX(Data[],MATCH($A238,Data[Dist],0),MATCH(K$5,Data[#Headers],0))</f>
        <v>1741123</v>
      </c>
      <c r="M238" s="59">
        <f>INDEX('Payment Total'!$A$7:$H$331,MATCH('Payment by Source'!$A238,'Payment Total'!$A$7:$A$331,0),6)-K238</f>
        <v>0</v>
      </c>
      <c r="O238" s="263">
        <f t="shared" si="16"/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14048767</v>
      </c>
      <c r="X238" s="136">
        <f t="shared" si="14"/>
        <v>1404877</v>
      </c>
      <c r="Y238" s="136">
        <f t="shared" si="15"/>
        <v>14048770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77556</v>
      </c>
      <c r="D239" s="221">
        <f>IF(Notes!$B$2="June",ROUND('Budget by Source'!D239/10,0)+S239,ROUND('Budget by Source'!D239/10,0))</f>
        <v>405571</v>
      </c>
      <c r="E239" s="221">
        <f>IF(Notes!$B$2="June",ROUND('Budget by Source'!E239/10,0)+T239,ROUND('Budget by Source'!E239/10,0))</f>
        <v>39198</v>
      </c>
      <c r="F239" s="221">
        <f>IF(Notes!$B$2="June",ROUND('Budget by Source'!F239/10,0)+U239,ROUND('Budget by Source'!F239/10,0))</f>
        <v>41759</v>
      </c>
      <c r="G239" s="221">
        <f>IF(Notes!$B$2="June",ROUND('Budget by Source'!G239/10,0)+V239,ROUND('Budget by Source'!G239/10,0))</f>
        <v>216856</v>
      </c>
      <c r="H239" s="221">
        <f>INDEX('AEA Funding and Payments'!$A$8:$T$332,MATCH('Payment by Source'!$A239,'AEA Funding and Payments'!$A$8:$A$332,0),MATCH(H$5,'AEA Funding and Payments'!$A$4:$T$4,0))</f>
        <v>112081</v>
      </c>
      <c r="I239" s="221">
        <f>IF(Notes!$B$2="June",INDEX('AEA Funding and Payments'!$A$8:$AI$332,MATCH('Payment by Source'!$A239,'AEA Funding and Payments'!$A$8:$A$332,0),34),
ROUND(INDEX('AEA Funding and Payments'!$A$8:$T$332,MATCH('Payment by Source'!$A239,'AEA Funding and Payments'!$A$8:$A$332,0),MATCH(I$5,'AEA Funding and Payments'!$A$4:$T$4,0))/10,0))</f>
        <v>17363</v>
      </c>
      <c r="J239" s="221">
        <f t="shared" si="13"/>
        <v>3191568</v>
      </c>
      <c r="K239" s="221">
        <f>INDEX(Data[],MATCH($A239,Data[Dist],0),MATCH(K$5,Data[#Headers],0))</f>
        <v>4101952</v>
      </c>
      <c r="M239" s="59">
        <f>INDEX('Payment Total'!$A$7:$H$331,MATCH('Payment by Source'!$A239,'Payment Total'!$A$7:$A$331,0),6)-K239</f>
        <v>0</v>
      </c>
      <c r="O239" s="263">
        <f t="shared" si="16"/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31999012</v>
      </c>
      <c r="X239" s="136">
        <f t="shared" si="14"/>
        <v>3199901</v>
      </c>
      <c r="Y239" s="136">
        <f t="shared" si="15"/>
        <v>31999010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16311</v>
      </c>
      <c r="D240" s="221">
        <f>IF(Notes!$B$2="June",ROUND('Budget by Source'!D240/10,0)+S240,ROUND('Budget by Source'!D240/10,0))</f>
        <v>71837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5097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14960</v>
      </c>
      <c r="I240" s="221">
        <f>IF(Notes!$B$2="June",INDEX('AEA Funding and Payments'!$A$8:$AI$332,MATCH('Payment by Source'!$A240,'AEA Funding and Payments'!$A$8:$A$332,0),34),
ROUND(INDEX('AEA Funding and Payments'!$A$8:$T$332,MATCH('Payment by Source'!$A240,'AEA Funding and Payments'!$A$8:$A$332,0),MATCH(I$5,'AEA Funding and Payments'!$A$4:$T$4,0))/10,0))</f>
        <v>2233</v>
      </c>
      <c r="J240" s="221">
        <f t="shared" si="13"/>
        <v>482313</v>
      </c>
      <c r="K240" s="221">
        <f>INDEX(Data[],MATCH($A240,Data[Dist],0),MATCH(K$5,Data[#Headers],0))</f>
        <v>626022</v>
      </c>
      <c r="M240" s="59">
        <f>INDEX('Payment Total'!$A$7:$H$331,MATCH('Payment by Source'!$A240,'Payment Total'!$A$7:$A$331,0),6)-K240</f>
        <v>0</v>
      </c>
      <c r="O240" s="263">
        <f t="shared" si="16"/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4833820</v>
      </c>
      <c r="X240" s="136">
        <f t="shared" si="14"/>
        <v>483382</v>
      </c>
      <c r="Y240" s="136">
        <f t="shared" si="15"/>
        <v>4833820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11934</v>
      </c>
      <c r="D241" s="221">
        <f>IF(Notes!$B$2="June",ROUND('Budget by Source'!D241/10,0)+S241,ROUND('Budget by Source'!D241/10,0))</f>
        <v>68350</v>
      </c>
      <c r="E241" s="221">
        <f>IF(Notes!$B$2="June",ROUND('Budget by Source'!E241/10,0)+T241,ROUND('Budget by Source'!E241/10,0))</f>
        <v>5581</v>
      </c>
      <c r="F241" s="221">
        <f>IF(Notes!$B$2="June",ROUND('Budget by Source'!F241/10,0)+U241,ROUND('Budget by Source'!F241/10,0))</f>
        <v>7183</v>
      </c>
      <c r="G241" s="221">
        <f>IF(Notes!$B$2="June",ROUND('Budget by Source'!G241/10,0)+V241,ROUND('Budget by Source'!G241/10,0))</f>
        <v>28467</v>
      </c>
      <c r="H241" s="221">
        <f>INDEX('AEA Funding and Payments'!$A$8:$T$332,MATCH('Payment by Source'!$A241,'AEA Funding and Payments'!$A$8:$A$332,0),MATCH(H$5,'AEA Funding and Payments'!$A$4:$T$4,0))</f>
        <v>13824</v>
      </c>
      <c r="I241" s="221">
        <f>IF(Notes!$B$2="June",INDEX('AEA Funding and Payments'!$A$8:$AI$332,MATCH('Payment by Source'!$A241,'AEA Funding and Payments'!$A$8:$A$332,0),34),
ROUND(INDEX('AEA Funding and Payments'!$A$8:$T$332,MATCH('Payment by Source'!$A241,'AEA Funding and Payments'!$A$8:$A$332,0),MATCH(I$5,'AEA Funding and Payments'!$A$4:$T$4,0))/10,0))</f>
        <v>2225</v>
      </c>
      <c r="J241" s="221">
        <f t="shared" si="13"/>
        <v>156861</v>
      </c>
      <c r="K241" s="221">
        <f>INDEX(Data[],MATCH($A241,Data[Dist],0),MATCH(K$5,Data[#Headers],0))</f>
        <v>294425</v>
      </c>
      <c r="M241" s="59">
        <f>INDEX('Payment Total'!$A$7:$H$331,MATCH('Payment by Source'!$A241,'Payment Total'!$A$7:$A$331,0),6)-K241</f>
        <v>0</v>
      </c>
      <c r="O241" s="263">
        <f t="shared" si="16"/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1578626</v>
      </c>
      <c r="X241" s="136">
        <f t="shared" si="14"/>
        <v>157863</v>
      </c>
      <c r="Y241" s="136">
        <f t="shared" si="15"/>
        <v>1578630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75954</v>
      </c>
      <c r="E242" s="221">
        <f>IF(Notes!$B$2="June",ROUND('Budget by Source'!E242/10,0)+T242,ROUND('Budget by Source'!E242/10,0))</f>
        <v>7847</v>
      </c>
      <c r="F242" s="221">
        <f>IF(Notes!$B$2="June",ROUND('Budget by Source'!F242/10,0)+U242,ROUND('Budget by Source'!F242/10,0))</f>
        <v>5274</v>
      </c>
      <c r="G242" s="221">
        <f>IF(Notes!$B$2="June",ROUND('Budget by Source'!G242/10,0)+V242,ROUND('Budget by Source'!G242/10,0))</f>
        <v>28760</v>
      </c>
      <c r="H242" s="221">
        <f>INDEX('AEA Funding and Payments'!$A$8:$T$332,MATCH('Payment by Source'!$A242,'AEA Funding and Payments'!$A$8:$A$332,0),MATCH(H$5,'AEA Funding and Payments'!$A$4:$T$4,0))</f>
        <v>15345</v>
      </c>
      <c r="I242" s="221">
        <f>IF(Notes!$B$2="June",INDEX('AEA Funding and Payments'!$A$8:$AI$332,MATCH('Payment by Source'!$A242,'AEA Funding and Payments'!$A$8:$A$332,0),34),
ROUND(INDEX('AEA Funding and Payments'!$A$8:$T$332,MATCH('Payment by Source'!$A242,'AEA Funding and Payments'!$A$8:$A$332,0),MATCH(I$5,'AEA Funding and Payments'!$A$4:$T$4,0))/10,0))</f>
        <v>2575</v>
      </c>
      <c r="J242" s="221">
        <f t="shared" si="13"/>
        <v>572204</v>
      </c>
      <c r="K242" s="221">
        <f>INDEX(Data[],MATCH($A242,Data[Dist],0),MATCH(K$5,Data[#Headers],0))</f>
        <v>718698</v>
      </c>
      <c r="M242" s="59">
        <f>INDEX('Payment Total'!$A$7:$H$331,MATCH('Payment by Source'!$A242,'Payment Total'!$A$7:$A$331,0),6)-K242</f>
        <v>0</v>
      </c>
      <c r="O242" s="263">
        <f t="shared" si="16"/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5733246</v>
      </c>
      <c r="X242" s="136">
        <f t="shared" si="14"/>
        <v>573325</v>
      </c>
      <c r="Y242" s="136">
        <f t="shared" si="15"/>
        <v>5733250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97899</v>
      </c>
      <c r="E243" s="221">
        <f>IF(Notes!$B$2="June",ROUND('Budget by Source'!E243/10,0)+T243,ROUND('Budget by Source'!E243/10,0))</f>
        <v>7581</v>
      </c>
      <c r="F243" s="221">
        <f>IF(Notes!$B$2="June",ROUND('Budget by Source'!F243/10,0)+U243,ROUND('Budget by Source'!F243/10,0))</f>
        <v>7316</v>
      </c>
      <c r="G243" s="221">
        <f>IF(Notes!$B$2="June",ROUND('Budget by Source'!G243/10,0)+V243,ROUND('Budget by Source'!G243/10,0))</f>
        <v>38799</v>
      </c>
      <c r="H243" s="221">
        <f>INDEX('AEA Funding and Payments'!$A$8:$T$332,MATCH('Payment by Source'!$A243,'AEA Funding and Payments'!$A$8:$A$332,0),MATCH(H$5,'AEA Funding and Payments'!$A$4:$T$4,0))</f>
        <v>20659</v>
      </c>
      <c r="I243" s="221">
        <f>IF(Notes!$B$2="June",INDEX('AEA Funding and Payments'!$A$8:$AI$332,MATCH('Payment by Source'!$A243,'AEA Funding and Payments'!$A$8:$A$332,0),34),
ROUND(INDEX('AEA Funding and Payments'!$A$8:$T$332,MATCH('Payment by Source'!$A243,'AEA Funding and Payments'!$A$8:$A$332,0),MATCH(I$5,'AEA Funding and Payments'!$A$4:$T$4,0))/10,0))</f>
        <v>3090</v>
      </c>
      <c r="J243" s="221">
        <f t="shared" si="13"/>
        <v>592052</v>
      </c>
      <c r="K243" s="221">
        <f>INDEX(Data[],MATCH($A243,Data[Dist],0),MATCH(K$5,Data[#Headers],0))</f>
        <v>788874</v>
      </c>
      <c r="M243" s="59">
        <f>INDEX('Payment Total'!$A$7:$H$331,MATCH('Payment by Source'!$A243,'Payment Total'!$A$7:$A$331,0),6)-K243</f>
        <v>0</v>
      </c>
      <c r="O243" s="263">
        <f t="shared" si="16"/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5935631</v>
      </c>
      <c r="X243" s="136">
        <f t="shared" si="14"/>
        <v>593563</v>
      </c>
      <c r="Y243" s="136">
        <f t="shared" si="15"/>
        <v>5935630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19492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9623</v>
      </c>
      <c r="F244" s="221">
        <f>IF(Notes!$B$2="June",ROUND('Budget by Source'!F244/10,0)+U244,ROUND('Budget by Source'!F244/10,0))</f>
        <v>8056</v>
      </c>
      <c r="G244" s="221">
        <f>IF(Notes!$B$2="June",ROUND('Budget by Source'!G244/10,0)+V244,ROUND('Budget by Source'!G244/10,0))</f>
        <v>40028</v>
      </c>
      <c r="H244" s="221">
        <f>INDEX('AEA Funding and Payments'!$A$8:$T$332,MATCH('Payment by Source'!$A244,'AEA Funding and Payments'!$A$8:$A$332,0),MATCH(H$5,'AEA Funding and Payments'!$A$4:$T$4,0))</f>
        <v>20200</v>
      </c>
      <c r="I244" s="221">
        <f>IF(Notes!$B$2="June",INDEX('AEA Funding and Payments'!$A$8:$AI$332,MATCH('Payment by Source'!$A244,'AEA Funding and Payments'!$A$8:$A$332,0),34),
ROUND(INDEX('AEA Funding and Payments'!$A$8:$T$332,MATCH('Payment by Source'!$A244,'AEA Funding and Payments'!$A$8:$A$332,0),MATCH(I$5,'AEA Funding and Payments'!$A$4:$T$4,0))/10,0))</f>
        <v>3424</v>
      </c>
      <c r="J244" s="221">
        <f t="shared" si="13"/>
        <v>565297</v>
      </c>
      <c r="K244" s="221">
        <f>INDEX(Data[],MATCH($A244,Data[Dist],0),MATCH(K$5,Data[#Headers],0))</f>
        <v>767144</v>
      </c>
      <c r="M244" s="59">
        <f>INDEX('Payment Total'!$A$7:$H$331,MATCH('Payment by Source'!$A244,'Payment Total'!$A$7:$A$331,0),6)-K244</f>
        <v>0</v>
      </c>
      <c r="O244" s="263">
        <f t="shared" si="16"/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5667848</v>
      </c>
      <c r="X244" s="136">
        <f t="shared" si="14"/>
        <v>566785</v>
      </c>
      <c r="Y244" s="136">
        <f t="shared" si="15"/>
        <v>5667850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5167</v>
      </c>
      <c r="D245" s="221">
        <f>IF(Notes!$B$2="June",ROUND('Budget by Source'!D245/10,0)+S245,ROUND('Budget by Source'!D245/10,0))</f>
        <v>60742</v>
      </c>
      <c r="E245" s="221">
        <f>IF(Notes!$B$2="June",ROUND('Budget by Source'!E245/10,0)+T245,ROUND('Budget by Source'!E245/10,0))</f>
        <v>3393</v>
      </c>
      <c r="F245" s="221">
        <f>IF(Notes!$B$2="June",ROUND('Budget by Source'!F245/10,0)+U245,ROUND('Budget by Source'!F245/10,0))</f>
        <v>3537</v>
      </c>
      <c r="G245" s="221">
        <f>IF(Notes!$B$2="June",ROUND('Budget by Source'!G245/10,0)+V245,ROUND('Budget by Source'!G245/10,0))</f>
        <v>18384</v>
      </c>
      <c r="H245" s="221">
        <f>INDEX('AEA Funding and Payments'!$A$8:$T$332,MATCH('Payment by Source'!$A245,'AEA Funding and Payments'!$A$8:$A$332,0),MATCH(H$5,'AEA Funding and Payments'!$A$4:$T$4,0))</f>
        <v>7572</v>
      </c>
      <c r="I245" s="221">
        <f>IF(Notes!$B$2="June",INDEX('AEA Funding and Payments'!$A$8:$AI$332,MATCH('Payment by Source'!$A245,'AEA Funding and Payments'!$A$8:$A$332,0),34),
ROUND(INDEX('AEA Funding and Payments'!$A$8:$T$332,MATCH('Payment by Source'!$A245,'AEA Funding and Payments'!$A$8:$A$332,0),MATCH(I$5,'AEA Funding and Payments'!$A$4:$T$4,0))/10,0))</f>
        <v>1198</v>
      </c>
      <c r="J245" s="221">
        <f t="shared" si="13"/>
        <v>106255</v>
      </c>
      <c r="K245" s="221">
        <f>INDEX(Data[],MATCH($A245,Data[Dist],0),MATCH(K$5,Data[#Headers],0))</f>
        <v>206248</v>
      </c>
      <c r="M245" s="59">
        <f>INDEX('Payment Total'!$A$7:$H$331,MATCH('Payment by Source'!$A245,'Payment Total'!$A$7:$A$331,0),6)-K245</f>
        <v>0</v>
      </c>
      <c r="O245" s="263">
        <f t="shared" si="16"/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1067550</v>
      </c>
      <c r="X245" s="136">
        <f t="shared" si="14"/>
        <v>106755</v>
      </c>
      <c r="Y245" s="136">
        <f t="shared" si="15"/>
        <v>1067550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11530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2771</v>
      </c>
      <c r="F246" s="221">
        <f>IF(Notes!$B$2="June",ROUND('Budget by Source'!F246/10,0)+U246,ROUND('Budget by Source'!F246/10,0))</f>
        <v>3658</v>
      </c>
      <c r="G246" s="221">
        <f>IF(Notes!$B$2="June",ROUND('Budget by Source'!G246/10,0)+V246,ROUND('Budget by Source'!G246/10,0))</f>
        <v>13722</v>
      </c>
      <c r="H246" s="221">
        <f>INDEX('AEA Funding and Payments'!$A$8:$T$332,MATCH('Payment by Source'!$A246,'AEA Funding and Payments'!$A$8:$A$332,0),MATCH(H$5,'AEA Funding and Payments'!$A$4:$T$4,0))</f>
        <v>7445</v>
      </c>
      <c r="I246" s="221">
        <f>IF(Notes!$B$2="June",INDEX('AEA Funding and Payments'!$A$8:$AI$332,MATCH('Payment by Source'!$A246,'AEA Funding and Payments'!$A$8:$A$332,0),34),
ROUND(INDEX('AEA Funding and Payments'!$A$8:$T$332,MATCH('Payment by Source'!$A246,'AEA Funding and Payments'!$A$8:$A$332,0),MATCH(I$5,'AEA Funding and Payments'!$A$4:$T$4,0))/10,0))</f>
        <v>1217</v>
      </c>
      <c r="J246" s="221">
        <f t="shared" si="13"/>
        <v>135144</v>
      </c>
      <c r="K246" s="221">
        <f>INDEX(Data[],MATCH($A246,Data[Dist],0),MATCH(K$5,Data[#Headers],0))</f>
        <v>237572</v>
      </c>
      <c r="M246" s="59">
        <f>INDEX('Payment Total'!$A$7:$H$331,MATCH('Payment by Source'!$A246,'Payment Total'!$A$7:$A$331,0),6)-K246</f>
        <v>0</v>
      </c>
      <c r="O246" s="263">
        <f t="shared" si="16"/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1356892</v>
      </c>
      <c r="X246" s="136">
        <f t="shared" si="14"/>
        <v>135689</v>
      </c>
      <c r="Y246" s="136">
        <f t="shared" si="15"/>
        <v>1356890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28236</v>
      </c>
      <c r="D247" s="221">
        <f>IF(Notes!$B$2="June",ROUND('Budget by Source'!D247/10,0)+S247,ROUND('Budget by Source'!D247/10,0))</f>
        <v>102796</v>
      </c>
      <c r="E247" s="221">
        <f>IF(Notes!$B$2="June",ROUND('Budget by Source'!E247/10,0)+T247,ROUND('Budget by Source'!E247/10,0))</f>
        <v>10717</v>
      </c>
      <c r="F247" s="221">
        <f>IF(Notes!$B$2="June",ROUND('Budget by Source'!F247/10,0)+U247,ROUND('Budget by Source'!F247/10,0))</f>
        <v>8373</v>
      </c>
      <c r="G247" s="221">
        <f>IF(Notes!$B$2="June",ROUND('Budget by Source'!G247/10,0)+V247,ROUND('Budget by Source'!G247/10,0))</f>
        <v>43175</v>
      </c>
      <c r="H247" s="221">
        <f>INDEX('AEA Funding and Payments'!$A$8:$T$332,MATCH('Payment by Source'!$A247,'AEA Funding and Payments'!$A$8:$A$332,0),MATCH(H$5,'AEA Funding and Payments'!$A$4:$T$4,0))</f>
        <v>15936</v>
      </c>
      <c r="I247" s="221">
        <f>IF(Notes!$B$2="June",INDEX('AEA Funding and Payments'!$A$8:$AI$332,MATCH('Payment by Source'!$A247,'AEA Funding and Payments'!$A$8:$A$332,0),34),
ROUND(INDEX('AEA Funding and Payments'!$A$8:$T$332,MATCH('Payment by Source'!$A247,'AEA Funding and Payments'!$A$8:$A$332,0),MATCH(I$5,'AEA Funding and Payments'!$A$4:$T$4,0))/10,0))</f>
        <v>2659</v>
      </c>
      <c r="J247" s="221">
        <f t="shared" si="13"/>
        <v>443554</v>
      </c>
      <c r="K247" s="221">
        <f>INDEX(Data[],MATCH($A247,Data[Dist],0),MATCH(K$5,Data[#Headers],0))</f>
        <v>655446</v>
      </c>
      <c r="M247" s="59">
        <f>INDEX('Payment Total'!$A$7:$H$331,MATCH('Payment by Source'!$A247,'Payment Total'!$A$7:$A$331,0),6)-K247</f>
        <v>0</v>
      </c>
      <c r="O247" s="263">
        <f t="shared" si="16"/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4447501</v>
      </c>
      <c r="X247" s="136">
        <f t="shared" si="14"/>
        <v>444750</v>
      </c>
      <c r="Y247" s="136">
        <f t="shared" si="15"/>
        <v>4447500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83115</v>
      </c>
      <c r="E248" s="221">
        <f>IF(Notes!$B$2="June",ROUND('Budget by Source'!E248/10,0)+T248,ROUND('Budget by Source'!E248/10,0))</f>
        <v>7859</v>
      </c>
      <c r="F248" s="221">
        <f>IF(Notes!$B$2="June",ROUND('Budget by Source'!F248/10,0)+U248,ROUND('Budget by Source'!F248/10,0))</f>
        <v>8330</v>
      </c>
      <c r="G248" s="221">
        <f>IF(Notes!$B$2="June",ROUND('Budget by Source'!G248/10,0)+V248,ROUND('Budget by Source'!G248/10,0))</f>
        <v>39010</v>
      </c>
      <c r="H248" s="221">
        <f>INDEX('AEA Funding and Payments'!$A$8:$T$332,MATCH('Payment by Source'!$A248,'AEA Funding and Payments'!$A$8:$A$332,0),MATCH(H$5,'AEA Funding and Payments'!$A$4:$T$4,0))</f>
        <v>21021</v>
      </c>
      <c r="I248" s="221">
        <f>IF(Notes!$B$2="June",INDEX('AEA Funding and Payments'!$A$8:$AI$332,MATCH('Payment by Source'!$A248,'AEA Funding and Payments'!$A$8:$A$332,0),34),
ROUND(INDEX('AEA Funding and Payments'!$A$8:$T$332,MATCH('Payment by Source'!$A248,'AEA Funding and Payments'!$A$8:$A$332,0),MATCH(I$5,'AEA Funding and Payments'!$A$4:$T$4,0))/10,0))</f>
        <v>3142</v>
      </c>
      <c r="J248" s="221">
        <f t="shared" si="13"/>
        <v>605712</v>
      </c>
      <c r="K248" s="221">
        <f>INDEX(Data[],MATCH($A248,Data[Dist],0),MATCH(K$5,Data[#Headers],0))</f>
        <v>789667</v>
      </c>
      <c r="M248" s="59">
        <f>INDEX('Payment Total'!$A$7:$H$331,MATCH('Payment by Source'!$A248,'Payment Total'!$A$7:$A$331,0),6)-K248</f>
        <v>0</v>
      </c>
      <c r="O248" s="263">
        <f t="shared" si="16"/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6072373</v>
      </c>
      <c r="X248" s="136">
        <f t="shared" si="14"/>
        <v>607237</v>
      </c>
      <c r="Y248" s="136">
        <f t="shared" si="15"/>
        <v>6072370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7953</v>
      </c>
      <c r="D249" s="221">
        <f>IF(Notes!$B$2="June",ROUND('Budget by Source'!D249/10,0)+S249,ROUND('Budget by Source'!D249/10,0))</f>
        <v>57648</v>
      </c>
      <c r="E249" s="221">
        <f>IF(Notes!$B$2="June",ROUND('Budget by Source'!E249/10,0)+T249,ROUND('Budget by Source'!E249/10,0))</f>
        <v>3168</v>
      </c>
      <c r="F249" s="221">
        <f>IF(Notes!$B$2="June",ROUND('Budget by Source'!F249/10,0)+U249,ROUND('Budget by Source'!F249/10,0))</f>
        <v>3316</v>
      </c>
      <c r="G249" s="221">
        <f>IF(Notes!$B$2="June",ROUND('Budget by Source'!G249/10,0)+V249,ROUND('Budget by Source'!G249/10,0))</f>
        <v>15902</v>
      </c>
      <c r="H249" s="221">
        <f>INDEX('AEA Funding and Payments'!$A$8:$T$332,MATCH('Payment by Source'!$A249,'AEA Funding and Payments'!$A$8:$A$332,0),MATCH(H$5,'AEA Funding and Payments'!$A$4:$T$4,0))</f>
        <v>8803</v>
      </c>
      <c r="I249" s="221">
        <f>IF(Notes!$B$2="June",INDEX('AEA Funding and Payments'!$A$8:$AI$332,MATCH('Payment by Source'!$A249,'AEA Funding and Payments'!$A$8:$A$332,0),34),
ROUND(INDEX('AEA Funding and Payments'!$A$8:$T$332,MATCH('Payment by Source'!$A249,'AEA Funding and Payments'!$A$8:$A$332,0),MATCH(I$5,'AEA Funding and Payments'!$A$4:$T$4,0))/10,0))</f>
        <v>1421</v>
      </c>
      <c r="J249" s="221">
        <f t="shared" si="13"/>
        <v>219196</v>
      </c>
      <c r="K249" s="221">
        <f>INDEX(Data[],MATCH($A249,Data[Dist],0),MATCH(K$5,Data[#Headers],0))</f>
        <v>317407</v>
      </c>
      <c r="M249" s="59">
        <f>INDEX('Payment Total'!$A$7:$H$331,MATCH('Payment by Source'!$A249,'Payment Total'!$A$7:$A$331,0),6)-K249</f>
        <v>0</v>
      </c>
      <c r="O249" s="263">
        <f t="shared" si="16"/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2198111</v>
      </c>
      <c r="X249" s="136">
        <f t="shared" si="14"/>
        <v>219811</v>
      </c>
      <c r="Y249" s="136">
        <f t="shared" si="15"/>
        <v>2198110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3181</v>
      </c>
      <c r="D250" s="221">
        <f>IF(Notes!$B$2="June",ROUND('Budget by Source'!D250/10,0)+S250,ROUND('Budget by Source'!D250/10,0))</f>
        <v>29802</v>
      </c>
      <c r="E250" s="221">
        <f>IF(Notes!$B$2="June",ROUND('Budget by Source'!E250/10,0)+T250,ROUND('Budget by Source'!E250/10,0))</f>
        <v>1734</v>
      </c>
      <c r="F250" s="221">
        <f>IF(Notes!$B$2="June",ROUND('Budget by Source'!F250/10,0)+U250,ROUND('Budget by Source'!F250/10,0))</f>
        <v>1595</v>
      </c>
      <c r="G250" s="221">
        <f>IF(Notes!$B$2="June",ROUND('Budget by Source'!G250/10,0)+V250,ROUND('Budget by Source'!G250/10,0))</f>
        <v>7437</v>
      </c>
      <c r="H250" s="221">
        <f>INDEX('AEA Funding and Payments'!$A$8:$T$332,MATCH('Payment by Source'!$A250,'AEA Funding and Payments'!$A$8:$A$332,0),MATCH(H$5,'AEA Funding and Payments'!$A$4:$T$4,0))</f>
        <v>3995</v>
      </c>
      <c r="I250" s="221">
        <f>IF(Notes!$B$2="June",INDEX('AEA Funding and Payments'!$A$8:$AI$332,MATCH('Payment by Source'!$A250,'AEA Funding and Payments'!$A$8:$A$332,0),34),
ROUND(INDEX('AEA Funding and Payments'!$A$8:$T$332,MATCH('Payment by Source'!$A250,'AEA Funding and Payments'!$A$8:$A$332,0),MATCH(I$5,'AEA Funding and Payments'!$A$4:$T$4,0))/10,0))</f>
        <v>735</v>
      </c>
      <c r="J250" s="221">
        <f t="shared" si="13"/>
        <v>96559</v>
      </c>
      <c r="K250" s="221">
        <f>INDEX(Data[],MATCH($A250,Data[Dist],0),MATCH(K$5,Data[#Headers],0))</f>
        <v>145038</v>
      </c>
      <c r="M250" s="59">
        <f>INDEX('Payment Total'!$A$7:$H$331,MATCH('Payment by Source'!$A250,'Payment Total'!$A$7:$A$331,0),6)-K250</f>
        <v>0</v>
      </c>
      <c r="O250" s="263">
        <f t="shared" si="16"/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968450</v>
      </c>
      <c r="X250" s="136">
        <f t="shared" si="14"/>
        <v>96845</v>
      </c>
      <c r="Y250" s="136">
        <f t="shared" si="15"/>
        <v>968450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11934</v>
      </c>
      <c r="D251" s="221">
        <f>IF(Notes!$B$2="June",ROUND('Budget by Source'!D251/10,0)+S251,ROUND('Budget by Source'!D251/10,0))</f>
        <v>57349</v>
      </c>
      <c r="E251" s="221">
        <f>IF(Notes!$B$2="June",ROUND('Budget by Source'!E251/10,0)+T251,ROUND('Budget by Source'!E251/10,0))</f>
        <v>4670</v>
      </c>
      <c r="F251" s="221">
        <f>IF(Notes!$B$2="June",ROUND('Budget by Source'!F251/10,0)+U251,ROUND('Budget by Source'!F251/10,0))</f>
        <v>4809</v>
      </c>
      <c r="G251" s="221">
        <f>IF(Notes!$B$2="June",ROUND('Budget by Source'!G251/10,0)+V251,ROUND('Budget by Source'!G251/10,0))</f>
        <v>23594</v>
      </c>
      <c r="H251" s="221">
        <f>INDEX('AEA Funding and Payments'!$A$8:$T$332,MATCH('Payment by Source'!$A251,'AEA Funding and Payments'!$A$8:$A$332,0),MATCH(H$5,'AEA Funding and Payments'!$A$4:$T$4,0))</f>
        <v>12760</v>
      </c>
      <c r="I251" s="221">
        <f>IF(Notes!$B$2="June",INDEX('AEA Funding and Payments'!$A$8:$AI$332,MATCH('Payment by Source'!$A251,'AEA Funding and Payments'!$A$8:$A$332,0),34),
ROUND(INDEX('AEA Funding and Payments'!$A$8:$T$332,MATCH('Payment by Source'!$A251,'AEA Funding and Payments'!$A$8:$A$332,0),MATCH(I$5,'AEA Funding and Payments'!$A$4:$T$4,0))/10,0))</f>
        <v>1994</v>
      </c>
      <c r="J251" s="221">
        <f t="shared" si="13"/>
        <v>284201</v>
      </c>
      <c r="K251" s="221">
        <f>INDEX(Data[],MATCH($A251,Data[Dist],0),MATCH(K$5,Data[#Headers],0))</f>
        <v>401311</v>
      </c>
      <c r="M251" s="59">
        <f>INDEX('Payment Total'!$A$7:$H$331,MATCH('Payment by Source'!$A251,'Payment Total'!$A$7:$A$331,0),6)-K251</f>
        <v>0</v>
      </c>
      <c r="O251" s="263">
        <f t="shared" si="16"/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2851282</v>
      </c>
      <c r="X251" s="136">
        <f t="shared" si="14"/>
        <v>285128</v>
      </c>
      <c r="Y251" s="136">
        <f t="shared" si="15"/>
        <v>2851280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94188</v>
      </c>
      <c r="E252" s="221">
        <f>IF(Notes!$B$2="June",ROUND('Budget by Source'!E252/10,0)+T252,ROUND('Budget by Source'!E252/10,0))</f>
        <v>9958</v>
      </c>
      <c r="F252" s="221">
        <f>IF(Notes!$B$2="June",ROUND('Budget by Source'!F252/10,0)+U252,ROUND('Budget by Source'!F252/10,0))</f>
        <v>8421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IF(Notes!$B$2="June",INDEX('AEA Funding and Payments'!$A$8:$AI$332,MATCH('Payment by Source'!$A252,'AEA Funding and Payments'!$A$8:$A$332,0),34),
ROUND(INDEX('AEA Funding and Payments'!$A$8:$T$332,MATCH('Payment by Source'!$A252,'AEA Funding and Payments'!$A$8:$A$332,0),MATCH(I$5,'AEA Funding and Payments'!$A$4:$T$4,0))/10,0))</f>
        <v>3269</v>
      </c>
      <c r="J252" s="221">
        <f t="shared" si="13"/>
        <v>-7513</v>
      </c>
      <c r="K252" s="221">
        <f>INDEX(Data[],MATCH($A252,Data[Dist],0),MATCH(K$5,Data[#Headers],0))</f>
        <v>192959</v>
      </c>
      <c r="M252" s="59">
        <f>INDEX('Payment Total'!$A$7:$H$331,MATCH('Payment by Source'!$A252,'Payment Total'!$A$7:$A$331,0),6)-K252</f>
        <v>0</v>
      </c>
      <c r="O252" s="263">
        <f t="shared" si="16"/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-59645</v>
      </c>
      <c r="X252" s="136">
        <f t="shared" si="14"/>
        <v>-5965</v>
      </c>
      <c r="Y252" s="136">
        <f t="shared" si="15"/>
        <v>-59650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4377</v>
      </c>
      <c r="D253" s="221">
        <f>IF(Notes!$B$2="June",ROUND('Budget by Source'!D253/10,0)+S253,ROUND('Budget by Source'!D253/10,0))</f>
        <v>44160</v>
      </c>
      <c r="E253" s="221">
        <f>IF(Notes!$B$2="June",ROUND('Budget by Source'!E253/10,0)+T253,ROUND('Budget by Source'!E253/10,0))</f>
        <v>2683</v>
      </c>
      <c r="F253" s="221">
        <f>IF(Notes!$B$2="June",ROUND('Budget by Source'!F253/10,0)+U253,ROUND('Budget by Source'!F253/10,0))</f>
        <v>2988</v>
      </c>
      <c r="G253" s="221">
        <f>IF(Notes!$B$2="June",ROUND('Budget by Source'!G253/10,0)+V253,ROUND('Budget by Source'!G253/10,0))</f>
        <v>14098</v>
      </c>
      <c r="H253" s="221">
        <f>INDEX('AEA Funding and Payments'!$A$8:$T$332,MATCH('Payment by Source'!$A253,'AEA Funding and Payments'!$A$8:$A$332,0),MATCH(H$5,'AEA Funding and Payments'!$A$4:$T$4,0))</f>
        <v>7547</v>
      </c>
      <c r="I253" s="221">
        <f>IF(Notes!$B$2="June",INDEX('AEA Funding and Payments'!$A$8:$AI$332,MATCH('Payment by Source'!$A253,'AEA Funding and Payments'!$A$8:$A$332,0),34),
ROUND(INDEX('AEA Funding and Payments'!$A$8:$T$332,MATCH('Payment by Source'!$A253,'AEA Funding and Payments'!$A$8:$A$332,0),MATCH(I$5,'AEA Funding and Payments'!$A$4:$T$4,0))/10,0))</f>
        <v>1211</v>
      </c>
      <c r="J253" s="221">
        <f t="shared" si="13"/>
        <v>159372</v>
      </c>
      <c r="K253" s="221">
        <f>INDEX(Data[],MATCH($A253,Data[Dist],0),MATCH(K$5,Data[#Headers],0))</f>
        <v>236436</v>
      </c>
      <c r="M253" s="59">
        <f>INDEX('Payment Total'!$A$7:$H$331,MATCH('Payment by Source'!$A253,'Payment Total'!$A$7:$A$331,0),6)-K253</f>
        <v>0</v>
      </c>
      <c r="O253" s="263">
        <f t="shared" si="16"/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1599031</v>
      </c>
      <c r="X253" s="136">
        <f t="shared" si="14"/>
        <v>159903</v>
      </c>
      <c r="Y253" s="136">
        <f t="shared" si="15"/>
        <v>1599030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5572</v>
      </c>
      <c r="D254" s="221">
        <f>IF(Notes!$B$2="June",ROUND('Budget by Source'!D254/10,0)+S254,ROUND('Budget by Source'!D254/10,0))</f>
        <v>29262</v>
      </c>
      <c r="E254" s="221">
        <f>IF(Notes!$B$2="June",ROUND('Budget by Source'!E254/10,0)+T254,ROUND('Budget by Source'!E254/10,0))</f>
        <v>1728</v>
      </c>
      <c r="F254" s="221">
        <f>IF(Notes!$B$2="June",ROUND('Budget by Source'!F254/10,0)+U254,ROUND('Budget by Source'!F254/10,0))</f>
        <v>1334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4868</v>
      </c>
      <c r="I254" s="221">
        <f>IF(Notes!$B$2="June",INDEX('AEA Funding and Payments'!$A$8:$AI$332,MATCH('Payment by Source'!$A254,'AEA Funding and Payments'!$A$8:$A$332,0),34),
ROUND(INDEX('AEA Funding and Payments'!$A$8:$T$332,MATCH('Payment by Source'!$A254,'AEA Funding and Payments'!$A$8:$A$332,0),MATCH(I$5,'AEA Funding and Payments'!$A$4:$T$4,0))/10,0))</f>
        <v>889</v>
      </c>
      <c r="J254" s="221">
        <f t="shared" si="13"/>
        <v>89898</v>
      </c>
      <c r="K254" s="221">
        <f>INDEX(Data[],MATCH($A254,Data[Dist],0),MATCH(K$5,Data[#Headers],0))</f>
        <v>142579</v>
      </c>
      <c r="M254" s="59">
        <f>INDEX('Payment Total'!$A$7:$H$331,MATCH('Payment by Source'!$A254,'Payment Total'!$A$7:$A$331,0),6)-K254</f>
        <v>0</v>
      </c>
      <c r="O254" s="263">
        <f t="shared" si="16"/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902478</v>
      </c>
      <c r="X254" s="136">
        <f t="shared" si="14"/>
        <v>90248</v>
      </c>
      <c r="Y254" s="136">
        <f t="shared" si="15"/>
        <v>902480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29432</v>
      </c>
      <c r="D255" s="221">
        <f>IF(Notes!$B$2="June",ROUND('Budget by Source'!D255/10,0)+S255,ROUND('Budget by Source'!D255/10,0))</f>
        <v>108547</v>
      </c>
      <c r="E255" s="221">
        <f>IF(Notes!$B$2="June",ROUND('Budget by Source'!E255/10,0)+T255,ROUND('Budget by Source'!E255/10,0))</f>
        <v>11950</v>
      </c>
      <c r="F255" s="221">
        <f>IF(Notes!$B$2="June",ROUND('Budget by Source'!F255/10,0)+U255,ROUND('Budget by Source'!F255/10,0))</f>
        <v>12075</v>
      </c>
      <c r="G255" s="221">
        <f>IF(Notes!$B$2="June",ROUND('Budget by Source'!G255/10,0)+V255,ROUND('Budget by Source'!G255/10,0))</f>
        <v>56059</v>
      </c>
      <c r="H255" s="221">
        <f>INDEX('AEA Funding and Payments'!$A$8:$T$332,MATCH('Payment by Source'!$A255,'AEA Funding and Payments'!$A$8:$A$332,0),MATCH(H$5,'AEA Funding and Payments'!$A$4:$T$4,0))</f>
        <v>30215</v>
      </c>
      <c r="I255" s="221">
        <f>IF(Notes!$B$2="June",INDEX('AEA Funding and Payments'!$A$8:$AI$332,MATCH('Payment by Source'!$A255,'AEA Funding and Payments'!$A$8:$A$332,0),34),
ROUND(INDEX('AEA Funding and Payments'!$A$8:$T$332,MATCH('Payment by Source'!$A255,'AEA Funding and Payments'!$A$8:$A$332,0),MATCH(I$5,'AEA Funding and Payments'!$A$4:$T$4,0))/10,0))</f>
        <v>4786</v>
      </c>
      <c r="J255" s="221">
        <f t="shared" si="13"/>
        <v>642641</v>
      </c>
      <c r="K255" s="221">
        <f>INDEX(Data[],MATCH($A255,Data[Dist],0),MATCH(K$5,Data[#Headers],0))</f>
        <v>895705</v>
      </c>
      <c r="M255" s="59">
        <f>INDEX('Payment Total'!$A$7:$H$331,MATCH('Payment by Source'!$A255,'Payment Total'!$A$7:$A$331,0),6)-K255</f>
        <v>0</v>
      </c>
      <c r="O255" s="263">
        <f t="shared" si="16"/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6447858</v>
      </c>
      <c r="X255" s="136">
        <f t="shared" si="14"/>
        <v>644786</v>
      </c>
      <c r="Y255" s="136">
        <f t="shared" si="15"/>
        <v>6447860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3981</v>
      </c>
      <c r="D256" s="221">
        <f>IF(Notes!$B$2="June",ROUND('Budget by Source'!D256/10,0)+S256,ROUND('Budget by Source'!D256/10,0))</f>
        <v>49159</v>
      </c>
      <c r="E256" s="221">
        <f>IF(Notes!$B$2="June",ROUND('Budget by Source'!E256/10,0)+T256,ROUND('Budget by Source'!E256/10,0))</f>
        <v>2141</v>
      </c>
      <c r="F256" s="221">
        <f>IF(Notes!$B$2="June",ROUND('Budget by Source'!F256/10,0)+U256,ROUND('Budget by Source'!F256/10,0))</f>
        <v>2081</v>
      </c>
      <c r="G256" s="221">
        <f>IF(Notes!$B$2="June",ROUND('Budget by Source'!G256/10,0)+V256,ROUND('Budget by Source'!G256/10,0))</f>
        <v>8808</v>
      </c>
      <c r="H256" s="221">
        <f>INDEX('AEA Funding and Payments'!$A$8:$T$332,MATCH('Payment by Source'!$A256,'AEA Funding and Payments'!$A$8:$A$332,0),MATCH(H$5,'AEA Funding and Payments'!$A$4:$T$4,0))</f>
        <v>4456</v>
      </c>
      <c r="I256" s="221">
        <f>IF(Notes!$B$2="June",INDEX('AEA Funding and Payments'!$A$8:$AI$332,MATCH('Payment by Source'!$A256,'AEA Funding and Payments'!$A$8:$A$332,0),34),
ROUND(INDEX('AEA Funding and Payments'!$A$8:$T$332,MATCH('Payment by Source'!$A256,'AEA Funding and Payments'!$A$8:$A$332,0),MATCH(I$5,'AEA Funding and Payments'!$A$4:$T$4,0))/10,0))</f>
        <v>788</v>
      </c>
      <c r="J256" s="221">
        <f t="shared" si="13"/>
        <v>117891</v>
      </c>
      <c r="K256" s="221">
        <f>INDEX(Data[],MATCH($A256,Data[Dist],0),MATCH(K$5,Data[#Headers],0))</f>
        <v>189305</v>
      </c>
      <c r="M256" s="59">
        <f>INDEX('Payment Total'!$A$7:$H$331,MATCH('Payment by Source'!$A256,'Payment Total'!$A$7:$A$331,0),6)-K256</f>
        <v>0</v>
      </c>
      <c r="O256" s="263">
        <f t="shared" si="16"/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1182327</v>
      </c>
      <c r="X256" s="136">
        <f t="shared" si="14"/>
        <v>118233</v>
      </c>
      <c r="Y256" s="136">
        <f t="shared" si="15"/>
        <v>1182330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12340</v>
      </c>
      <c r="D257" s="221">
        <f>IF(Notes!$B$2="June",ROUND('Budget by Source'!D257/10,0)+S257,ROUND('Budget by Source'!D257/10,0))</f>
        <v>82308</v>
      </c>
      <c r="E257" s="221">
        <f>IF(Notes!$B$2="June",ROUND('Budget by Source'!E257/10,0)+T257,ROUND('Budget by Source'!E257/10,0))</f>
        <v>5677</v>
      </c>
      <c r="F257" s="221">
        <f>IF(Notes!$B$2="June",ROUND('Budget by Source'!F257/10,0)+U257,ROUND('Budget by Source'!F257/10,0))</f>
        <v>6700</v>
      </c>
      <c r="G257" s="221">
        <f>IF(Notes!$B$2="June",ROUND('Budget by Source'!G257/10,0)+V257,ROUND('Budget by Source'!G257/10,0))</f>
        <v>30229</v>
      </c>
      <c r="H257" s="221">
        <f>INDEX('AEA Funding and Payments'!$A$8:$T$332,MATCH('Payment by Source'!$A257,'AEA Funding and Payments'!$A$8:$A$332,0),MATCH(H$5,'AEA Funding and Payments'!$A$4:$T$4,0))</f>
        <v>15861</v>
      </c>
      <c r="I257" s="221">
        <f>IF(Notes!$B$2="June",INDEX('AEA Funding and Payments'!$A$8:$AI$332,MATCH('Payment by Source'!$A257,'AEA Funding and Payments'!$A$8:$A$332,0),34),
ROUND(INDEX('AEA Funding and Payments'!$A$8:$T$332,MATCH('Payment by Source'!$A257,'AEA Funding and Payments'!$A$8:$A$332,0),MATCH(I$5,'AEA Funding and Payments'!$A$4:$T$4,0))/10,0))</f>
        <v>2482</v>
      </c>
      <c r="J257" s="221">
        <f t="shared" si="13"/>
        <v>365182</v>
      </c>
      <c r="K257" s="221">
        <f>INDEX(Data[],MATCH($A257,Data[Dist],0),MATCH(K$5,Data[#Headers],0))</f>
        <v>520779</v>
      </c>
      <c r="M257" s="59">
        <f>INDEX('Payment Total'!$A$7:$H$331,MATCH('Payment by Source'!$A257,'Payment Total'!$A$7:$A$331,0),6)-K257</f>
        <v>0</v>
      </c>
      <c r="O257" s="263">
        <f t="shared" si="16"/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3663378</v>
      </c>
      <c r="X257" s="136">
        <f t="shared" si="14"/>
        <v>366338</v>
      </c>
      <c r="Y257" s="136">
        <f t="shared" si="15"/>
        <v>3663380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108242</v>
      </c>
      <c r="E258" s="221">
        <f>IF(Notes!$B$2="June",ROUND('Budget by Source'!E258/10,0)+T258,ROUND('Budget by Source'!E258/10,0))</f>
        <v>10560</v>
      </c>
      <c r="F258" s="221">
        <f>IF(Notes!$B$2="June",ROUND('Budget by Source'!F258/10,0)+U258,ROUND('Budget by Source'!F258/10,0))</f>
        <v>9110</v>
      </c>
      <c r="G258" s="221">
        <f>IF(Notes!$B$2="June",ROUND('Budget by Source'!G258/10,0)+V258,ROUND('Budget by Source'!G258/10,0))</f>
        <v>49447</v>
      </c>
      <c r="H258" s="221">
        <f>INDEX('AEA Funding and Payments'!$A$8:$T$332,MATCH('Payment by Source'!$A258,'AEA Funding and Payments'!$A$8:$A$332,0),MATCH(H$5,'AEA Funding and Payments'!$A$4:$T$4,0))</f>
        <v>24312</v>
      </c>
      <c r="I258" s="221">
        <f>IF(Notes!$B$2="June",INDEX('AEA Funding and Payments'!$A$8:$AI$332,MATCH('Payment by Source'!$A258,'AEA Funding and Payments'!$A$8:$A$332,0),34),
ROUND(INDEX('AEA Funding and Payments'!$A$8:$T$332,MATCH('Payment by Source'!$A258,'AEA Funding and Payments'!$A$8:$A$332,0),MATCH(I$5,'AEA Funding and Payments'!$A$4:$T$4,0))/10,0))</f>
        <v>3848</v>
      </c>
      <c r="J258" s="221">
        <f t="shared" si="13"/>
        <v>733271</v>
      </c>
      <c r="K258" s="221">
        <f>INDEX(Data[],MATCH($A258,Data[Dist],0),MATCH(K$5,Data[#Headers],0))</f>
        <v>975780</v>
      </c>
      <c r="M258" s="59">
        <f>INDEX('Payment Total'!$A$7:$H$331,MATCH('Payment by Source'!$A258,'Payment Total'!$A$7:$A$331,0),6)-K258</f>
        <v>0</v>
      </c>
      <c r="O258" s="263">
        <f t="shared" si="16"/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7350089</v>
      </c>
      <c r="X258" s="136">
        <f t="shared" si="14"/>
        <v>735009</v>
      </c>
      <c r="Y258" s="136">
        <f t="shared" si="15"/>
        <v>7350090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107326</v>
      </c>
      <c r="E259" s="221">
        <f>IF(Notes!$B$2="June",ROUND('Budget by Source'!E259/10,0)+T259,ROUND('Budget by Source'!E259/10,0))</f>
        <v>9639</v>
      </c>
      <c r="F259" s="221">
        <f>IF(Notes!$B$2="June",ROUND('Budget by Source'!F259/10,0)+U259,ROUND('Budget by Source'!F259/10,0))</f>
        <v>8295</v>
      </c>
      <c r="G259" s="221">
        <f>IF(Notes!$B$2="June",ROUND('Budget by Source'!G259/10,0)+V259,ROUND('Budget by Source'!G259/10,0))</f>
        <v>40996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IF(Notes!$B$2="June",INDEX('AEA Funding and Payments'!$A$8:$AI$332,MATCH('Payment by Source'!$A259,'AEA Funding and Payments'!$A$8:$A$332,0),34),
ROUND(INDEX('AEA Funding and Payments'!$A$8:$T$332,MATCH('Payment by Source'!$A259,'AEA Funding and Payments'!$A$8:$A$332,0),MATCH(I$5,'AEA Funding and Payments'!$A$4:$T$4,0))/10,0))</f>
        <v>3519</v>
      </c>
      <c r="J259" s="221">
        <f t="shared" si="13"/>
        <v>636058</v>
      </c>
      <c r="K259" s="221">
        <f>INDEX(Data[],MATCH($A259,Data[Dist],0),MATCH(K$5,Data[#Headers],0))</f>
        <v>845373</v>
      </c>
      <c r="M259" s="59">
        <f>INDEX('Payment Total'!$A$7:$H$331,MATCH('Payment by Source'!$A259,'Payment Total'!$A$7:$A$331,0),6)-K259</f>
        <v>0</v>
      </c>
      <c r="O259" s="263">
        <f t="shared" si="16"/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6376678</v>
      </c>
      <c r="X259" s="136">
        <f t="shared" si="14"/>
        <v>637668</v>
      </c>
      <c r="Y259" s="136">
        <f t="shared" si="15"/>
        <v>6376680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13121</v>
      </c>
      <c r="D260" s="221">
        <f>IF(Notes!$B$2="June",ROUND('Budget by Source'!D260/10,0)+S260,ROUND('Budget by Source'!D260/10,0))</f>
        <v>83816</v>
      </c>
      <c r="E260" s="221">
        <f>IF(Notes!$B$2="June",ROUND('Budget by Source'!E260/10,0)+T260,ROUND('Budget by Source'!E260/10,0))</f>
        <v>5734</v>
      </c>
      <c r="F260" s="221">
        <f>IF(Notes!$B$2="June",ROUND('Budget by Source'!F260/10,0)+U260,ROUND('Budget by Source'!F260/10,0))</f>
        <v>5048</v>
      </c>
      <c r="G260" s="221">
        <f>IF(Notes!$B$2="June",ROUND('Budget by Source'!G260/10,0)+V260,ROUND('Budget by Source'!G260/10,0))</f>
        <v>26369</v>
      </c>
      <c r="H260" s="221">
        <f>INDEX('AEA Funding and Payments'!$A$8:$T$332,MATCH('Payment by Source'!$A260,'AEA Funding and Payments'!$A$8:$A$332,0),MATCH(H$5,'AEA Funding and Payments'!$A$4:$T$4,0))</f>
        <v>14099</v>
      </c>
      <c r="I260" s="221">
        <f>IF(Notes!$B$2="June",INDEX('AEA Funding and Payments'!$A$8:$AI$332,MATCH('Payment by Source'!$A260,'AEA Funding and Payments'!$A$8:$A$332,0),34),
ROUND(INDEX('AEA Funding and Payments'!$A$8:$T$332,MATCH('Payment by Source'!$A260,'AEA Funding and Payments'!$A$8:$A$332,0),MATCH(I$5,'AEA Funding and Payments'!$A$4:$T$4,0))/10,0))</f>
        <v>2234</v>
      </c>
      <c r="J260" s="221">
        <f t="shared" si="13"/>
        <v>368094</v>
      </c>
      <c r="K260" s="221">
        <f>INDEX(Data[],MATCH($A260,Data[Dist],0),MATCH(K$5,Data[#Headers],0))</f>
        <v>518515</v>
      </c>
      <c r="M260" s="59">
        <f>INDEX('Payment Total'!$A$7:$H$331,MATCH('Payment by Source'!$A260,'Payment Total'!$A$7:$A$331,0),6)-K260</f>
        <v>0</v>
      </c>
      <c r="O260" s="263">
        <f t="shared" si="16"/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3691166</v>
      </c>
      <c r="X260" s="136">
        <f t="shared" si="14"/>
        <v>369117</v>
      </c>
      <c r="Y260" s="136">
        <f t="shared" si="15"/>
        <v>3691170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7162</v>
      </c>
      <c r="D261" s="221">
        <f>IF(Notes!$B$2="June",ROUND('Budget by Source'!D261/10,0)+S261,ROUND('Budget by Source'!D261/10,0))</f>
        <v>47981</v>
      </c>
      <c r="E261" s="221">
        <f>IF(Notes!$B$2="June",ROUND('Budget by Source'!E261/10,0)+T261,ROUND('Budget by Source'!E261/10,0))</f>
        <v>3282</v>
      </c>
      <c r="F261" s="221">
        <f>IF(Notes!$B$2="June",ROUND('Budget by Source'!F261/10,0)+U261,ROUND('Budget by Source'!F261/10,0))</f>
        <v>3074</v>
      </c>
      <c r="G261" s="221">
        <f>IF(Notes!$B$2="June",ROUND('Budget by Source'!G261/10,0)+V261,ROUND('Budget by Source'!G261/10,0))</f>
        <v>14695</v>
      </c>
      <c r="H261" s="221">
        <f>INDEX('AEA Funding and Payments'!$A$8:$T$332,MATCH('Payment by Source'!$A261,'AEA Funding and Payments'!$A$8:$A$332,0),MATCH(H$5,'AEA Funding and Payments'!$A$4:$T$4,0))</f>
        <v>7596</v>
      </c>
      <c r="I261" s="221">
        <f>IF(Notes!$B$2="June",INDEX('AEA Funding and Payments'!$A$8:$AI$332,MATCH('Payment by Source'!$A261,'AEA Funding and Payments'!$A$8:$A$332,0),34),
ROUND(INDEX('AEA Funding and Payments'!$A$8:$T$332,MATCH('Payment by Source'!$A261,'AEA Funding and Payments'!$A$8:$A$332,0),MATCH(I$5,'AEA Funding and Payments'!$A$4:$T$4,0))/10,0))</f>
        <v>1257</v>
      </c>
      <c r="J261" s="221">
        <f t="shared" si="13"/>
        <v>191913</v>
      </c>
      <c r="K261" s="221">
        <f>INDEX(Data[],MATCH($A261,Data[Dist],0),MATCH(K$5,Data[#Headers],0))</f>
        <v>276960</v>
      </c>
      <c r="M261" s="59">
        <f>INDEX('Payment Total'!$A$7:$H$331,MATCH('Payment by Source'!$A261,'Payment Total'!$A$7:$A$331,0),6)-K261</f>
        <v>0</v>
      </c>
      <c r="O261" s="263">
        <f t="shared" si="16"/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1924813</v>
      </c>
      <c r="X261" s="136">
        <f t="shared" si="14"/>
        <v>192481</v>
      </c>
      <c r="Y261" s="136">
        <f t="shared" si="15"/>
        <v>1924810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11530</v>
      </c>
      <c r="D262" s="221">
        <f>IF(Notes!$B$2="June",ROUND('Budget by Source'!D262/10,0)+S262,ROUND('Budget by Source'!D262/10,0))</f>
        <v>56984</v>
      </c>
      <c r="E262" s="221">
        <f>IF(Notes!$B$2="June",ROUND('Budget by Source'!E262/10,0)+T262,ROUND('Budget by Source'!E262/10,0))</f>
        <v>4539</v>
      </c>
      <c r="F262" s="221">
        <f>IF(Notes!$B$2="June",ROUND('Budget by Source'!F262/10,0)+U262,ROUND('Budget by Source'!F262/10,0))</f>
        <v>4337</v>
      </c>
      <c r="G262" s="221">
        <f>IF(Notes!$B$2="June",ROUND('Budget by Source'!G262/10,0)+V262,ROUND('Budget by Source'!G262/10,0))</f>
        <v>21690</v>
      </c>
      <c r="H262" s="221">
        <f>INDEX('AEA Funding and Payments'!$A$8:$T$332,MATCH('Payment by Source'!$A262,'AEA Funding and Payments'!$A$8:$A$332,0),MATCH(H$5,'AEA Funding and Payments'!$A$4:$T$4,0))</f>
        <v>11583</v>
      </c>
      <c r="I262" s="221">
        <f>IF(Notes!$B$2="June",INDEX('AEA Funding and Payments'!$A$8:$AI$332,MATCH('Payment by Source'!$A262,'AEA Funding and Payments'!$A$8:$A$332,0),34),
ROUND(INDEX('AEA Funding and Payments'!$A$8:$T$332,MATCH('Payment by Source'!$A262,'AEA Funding and Payments'!$A$8:$A$332,0),MATCH(I$5,'AEA Funding and Payments'!$A$4:$T$4,0))/10,0))</f>
        <v>1773</v>
      </c>
      <c r="J262" s="221">
        <f t="shared" si="13"/>
        <v>348095</v>
      </c>
      <c r="K262" s="221">
        <f>INDEX(Data[],MATCH($A262,Data[Dist],0),MATCH(K$5,Data[#Headers],0))</f>
        <v>460531</v>
      </c>
      <c r="M262" s="59">
        <f>INDEX('Payment Total'!$A$7:$H$331,MATCH('Payment by Source'!$A262,'Payment Total'!$A$7:$A$331,0),6)-K262</f>
        <v>0</v>
      </c>
      <c r="O262" s="263">
        <f t="shared" si="16"/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3489432</v>
      </c>
      <c r="X262" s="136">
        <f t="shared" si="14"/>
        <v>348943</v>
      </c>
      <c r="Y262" s="136">
        <f t="shared" si="15"/>
        <v>3489430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51711</v>
      </c>
      <c r="D263" s="221">
        <f>IF(Notes!$B$2="June",ROUND('Budget by Source'!D263/10,0)+S263,ROUND('Budget by Source'!D263/10,0))</f>
        <v>165246</v>
      </c>
      <c r="E263" s="221">
        <f>IF(Notes!$B$2="June",ROUND('Budget by Source'!E263/10,0)+T263,ROUND('Budget by Source'!E263/10,0))</f>
        <v>19714</v>
      </c>
      <c r="F263" s="221">
        <f>IF(Notes!$B$2="June",ROUND('Budget by Source'!F263/10,0)+U263,ROUND('Budget by Source'!F263/10,0))</f>
        <v>18654</v>
      </c>
      <c r="G263" s="221">
        <f>IF(Notes!$B$2="June",ROUND('Budget by Source'!G263/10,0)+V263,ROUND('Budget by Source'!G263/10,0))</f>
        <v>82487</v>
      </c>
      <c r="H263" s="221">
        <f>INDEX('AEA Funding and Payments'!$A$8:$T$332,MATCH('Payment by Source'!$A263,'AEA Funding and Payments'!$A$8:$A$332,0),MATCH(H$5,'AEA Funding and Payments'!$A$4:$T$4,0))</f>
        <v>32801</v>
      </c>
      <c r="I263" s="221">
        <f>IF(Notes!$B$2="June",INDEX('AEA Funding and Payments'!$A$8:$AI$332,MATCH('Payment by Source'!$A263,'AEA Funding and Payments'!$A$8:$A$332,0),34),
ROUND(INDEX('AEA Funding and Payments'!$A$8:$T$332,MATCH('Payment by Source'!$A263,'AEA Funding and Payments'!$A$8:$A$332,0),MATCH(I$5,'AEA Funding and Payments'!$A$4:$T$4,0))/10,0))</f>
        <v>5198</v>
      </c>
      <c r="J263" s="221">
        <f t="shared" ref="J263:J326" si="17">K263-SUM(C263:I263)</f>
        <v>1027677</v>
      </c>
      <c r="K263" s="221">
        <f>INDEX(Data[],MATCH($A263,Data[Dist],0),MATCH(K$5,Data[#Headers],0))</f>
        <v>1403488</v>
      </c>
      <c r="M263" s="59">
        <f>INDEX('Payment Total'!$A$7:$H$331,MATCH('Payment by Source'!$A263,'Payment Total'!$A$7:$A$331,0),6)-K263</f>
        <v>0</v>
      </c>
      <c r="O263" s="263">
        <f t="shared" si="16"/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10300150</v>
      </c>
      <c r="X263" s="136">
        <f t="shared" ref="X263:X326" si="18">ROUND(W263/10,0)</f>
        <v>1030015</v>
      </c>
      <c r="Y263" s="136">
        <f t="shared" ref="Y263:Y326" si="19">X263*10</f>
        <v>10300150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250183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153432</v>
      </c>
      <c r="F264" s="221">
        <f>IF(Notes!$B$2="June",ROUND('Budget by Source'!F264/10,0)+U264,ROUND('Budget by Source'!F264/10,0))</f>
        <v>124949</v>
      </c>
      <c r="G264" s="221">
        <f>IF(Notes!$B$2="June",ROUND('Budget by Source'!G264/10,0)+V264,ROUND('Budget by Source'!G264/10,0))</f>
        <v>609297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IF(Notes!$B$2="June",INDEX('AEA Funding and Payments'!$A$8:$AI$332,MATCH('Payment by Source'!$A264,'AEA Funding and Payments'!$A$8:$A$332,0),34),
ROUND(INDEX('AEA Funding and Payments'!$A$8:$T$332,MATCH('Payment by Source'!$A264,'AEA Funding and Payments'!$A$8:$A$332,0),MATCH(I$5,'AEA Funding and Payments'!$A$4:$T$4,0))/10,0))</f>
        <v>50149</v>
      </c>
      <c r="J264" s="221">
        <f t="shared" si="17"/>
        <v>11703490</v>
      </c>
      <c r="K264" s="221">
        <f>INDEX(Data[],MATCH($A264,Data[Dist],0),MATCH(K$5,Data[#Headers],0))</f>
        <v>14364888</v>
      </c>
      <c r="M264" s="59">
        <f>INDEX('Payment Total'!$A$7:$H$331,MATCH('Payment by Source'!$A264,'Payment Total'!$A$7:$A$331,0),6)-K264</f>
        <v>0</v>
      </c>
      <c r="O264" s="263">
        <f t="shared" si="16"/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117255130</v>
      </c>
      <c r="X264" s="136">
        <f t="shared" si="18"/>
        <v>11725513</v>
      </c>
      <c r="Y264" s="136">
        <f t="shared" si="19"/>
        <v>117255130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9149</v>
      </c>
      <c r="D265" s="221">
        <f>IF(Notes!$B$2="June",ROUND('Budget by Source'!D265/10,0)+S265,ROUND('Budget by Source'!D265/10,0))</f>
        <v>54033</v>
      </c>
      <c r="E265" s="221">
        <f>IF(Notes!$B$2="June",ROUND('Budget by Source'!E265/10,0)+T265,ROUND('Budget by Source'!E265/10,0))</f>
        <v>3733</v>
      </c>
      <c r="F265" s="221">
        <f>IF(Notes!$B$2="June",ROUND('Budget by Source'!F265/10,0)+U265,ROUND('Budget by Source'!F265/10,0))</f>
        <v>4011</v>
      </c>
      <c r="G265" s="221">
        <f>IF(Notes!$B$2="June",ROUND('Budget by Source'!G265/10,0)+V265,ROUND('Budget by Source'!G265/10,0))</f>
        <v>16783</v>
      </c>
      <c r="H265" s="221">
        <f>INDEX('AEA Funding and Payments'!$A$8:$T$332,MATCH('Payment by Source'!$A265,'AEA Funding and Payments'!$A$8:$A$332,0),MATCH(H$5,'AEA Funding and Payments'!$A$4:$T$4,0))</f>
        <v>8903</v>
      </c>
      <c r="I265" s="221">
        <f>IF(Notes!$B$2="June",INDEX('AEA Funding and Payments'!$A$8:$AI$332,MATCH('Payment by Source'!$A265,'AEA Funding and Payments'!$A$8:$A$332,0),34),
ROUND(INDEX('AEA Funding and Payments'!$A$8:$T$332,MATCH('Payment by Source'!$A265,'AEA Funding and Payments'!$A$8:$A$332,0),MATCH(I$5,'AEA Funding and Payments'!$A$4:$T$4,0))/10,0))</f>
        <v>1464</v>
      </c>
      <c r="J265" s="221">
        <f t="shared" si="17"/>
        <v>200069</v>
      </c>
      <c r="K265" s="221">
        <f>INDEX(Data[],MATCH($A265,Data[Dist],0),MATCH(K$5,Data[#Headers],0))</f>
        <v>298145</v>
      </c>
      <c r="M265" s="59">
        <f>INDEX('Payment Total'!$A$7:$H$331,MATCH('Payment by Source'!$A265,'Payment Total'!$A$7:$A$331,0),6)-K265</f>
        <v>0</v>
      </c>
      <c r="O265" s="263">
        <f t="shared" si="16"/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2007114</v>
      </c>
      <c r="X265" s="136">
        <f t="shared" si="18"/>
        <v>200711</v>
      </c>
      <c r="Y265" s="136">
        <f t="shared" si="19"/>
        <v>2007110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19492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7633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18792</v>
      </c>
      <c r="I266" s="221">
        <f>IF(Notes!$B$2="June",INDEX('AEA Funding and Payments'!$A$8:$AI$332,MATCH('Payment by Source'!$A266,'AEA Funding and Payments'!$A$8:$A$332,0),34),
ROUND(INDEX('AEA Funding and Payments'!$A$8:$T$332,MATCH('Payment by Source'!$A266,'AEA Funding and Payments'!$A$8:$A$332,0),MATCH(I$5,'AEA Funding and Payments'!$A$4:$T$4,0))/10,0))</f>
        <v>3040</v>
      </c>
      <c r="J266" s="221">
        <f t="shared" si="17"/>
        <v>386333</v>
      </c>
      <c r="K266" s="221">
        <f>INDEX(Data[],MATCH($A266,Data[Dist],0),MATCH(K$5,Data[#Headers],0))</f>
        <v>567444</v>
      </c>
      <c r="M266" s="59">
        <f>INDEX('Payment Total'!$A$7:$H$331,MATCH('Payment by Source'!$A266,'Payment Total'!$A$7:$A$331,0),6)-K266</f>
        <v>0</v>
      </c>
      <c r="O266" s="263">
        <f t="shared" si="16"/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3876867</v>
      </c>
      <c r="X266" s="136">
        <f t="shared" si="18"/>
        <v>387687</v>
      </c>
      <c r="Y266" s="136">
        <f t="shared" si="19"/>
        <v>3876870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27050</v>
      </c>
      <c r="D267" s="221">
        <f>IF(Notes!$B$2="June",ROUND('Budget by Source'!D267/10,0)+S267,ROUND('Budget by Source'!D267/10,0))</f>
        <v>117243</v>
      </c>
      <c r="E267" s="221">
        <f>IF(Notes!$B$2="June",ROUND('Budget by Source'!E267/10,0)+T267,ROUND('Budget by Source'!E267/10,0))</f>
        <v>9412</v>
      </c>
      <c r="F267" s="221">
        <f>IF(Notes!$B$2="June",ROUND('Budget by Source'!F267/10,0)+U267,ROUND('Budget by Source'!F267/10,0))</f>
        <v>9986</v>
      </c>
      <c r="G267" s="221">
        <f>IF(Notes!$B$2="June",ROUND('Budget by Source'!G267/10,0)+V267,ROUND('Budget by Source'!G267/10,0))</f>
        <v>55584</v>
      </c>
      <c r="H267" s="221">
        <f>INDEX('AEA Funding and Payments'!$A$8:$T$332,MATCH('Payment by Source'!$A267,'AEA Funding and Payments'!$A$8:$A$332,0),MATCH(H$5,'AEA Funding and Payments'!$A$4:$T$4,0))</f>
        <v>28856</v>
      </c>
      <c r="I267" s="221">
        <f>IF(Notes!$B$2="June",INDEX('AEA Funding and Payments'!$A$8:$AI$332,MATCH('Payment by Source'!$A267,'AEA Funding and Payments'!$A$8:$A$332,0),34),
ROUND(INDEX('AEA Funding and Payments'!$A$8:$T$332,MATCH('Payment by Source'!$A267,'AEA Funding and Payments'!$A$8:$A$332,0),MATCH(I$5,'AEA Funding and Payments'!$A$4:$T$4,0))/10,0))</f>
        <v>4435</v>
      </c>
      <c r="J267" s="221">
        <f t="shared" si="17"/>
        <v>781195</v>
      </c>
      <c r="K267" s="221">
        <f>INDEX(Data[],MATCH($A267,Data[Dist],0),MATCH(K$5,Data[#Headers],0))</f>
        <v>1033761</v>
      </c>
      <c r="M267" s="59">
        <f>INDEX('Payment Total'!$A$7:$H$331,MATCH('Payment by Source'!$A267,'Payment Total'!$A$7:$A$331,0),6)-K267</f>
        <v>0</v>
      </c>
      <c r="O267" s="263">
        <f t="shared" ref="O267:O329" si="20">SUM(C267:J267)-K267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7833519</v>
      </c>
      <c r="X267" s="136">
        <f t="shared" si="18"/>
        <v>783352</v>
      </c>
      <c r="Y267" s="136">
        <f t="shared" si="19"/>
        <v>7833520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6758</v>
      </c>
      <c r="D268" s="221">
        <f>IF(Notes!$B$2="June",ROUND('Budget by Source'!D268/10,0)+S268,ROUND('Budget by Source'!D268/10,0))</f>
        <v>56004</v>
      </c>
      <c r="E268" s="221">
        <f>IF(Notes!$B$2="June",ROUND('Budget by Source'!E268/10,0)+T268,ROUND('Budget by Source'!E268/10,0))</f>
        <v>3612</v>
      </c>
      <c r="F268" s="221">
        <f>IF(Notes!$B$2="June",ROUND('Budget by Source'!F268/10,0)+U268,ROUND('Budget by Source'!F268/10,0))</f>
        <v>3668</v>
      </c>
      <c r="G268" s="221">
        <f>IF(Notes!$B$2="June",ROUND('Budget by Source'!G268/10,0)+V268,ROUND('Budget by Source'!G268/10,0))</f>
        <v>19025</v>
      </c>
      <c r="H268" s="221">
        <f>INDEX('AEA Funding and Payments'!$A$8:$T$332,MATCH('Payment by Source'!$A268,'AEA Funding and Payments'!$A$8:$A$332,0),MATCH(H$5,'AEA Funding and Payments'!$A$4:$T$4,0))</f>
        <v>10094</v>
      </c>
      <c r="I268" s="221">
        <f>IF(Notes!$B$2="June",INDEX('AEA Funding and Payments'!$A$8:$AI$332,MATCH('Payment by Source'!$A268,'AEA Funding and Payments'!$A$8:$A$332,0),34),
ROUND(INDEX('AEA Funding and Payments'!$A$8:$T$332,MATCH('Payment by Source'!$A268,'AEA Funding and Payments'!$A$8:$A$332,0),MATCH(I$5,'AEA Funding and Payments'!$A$4:$T$4,0))/10,0))</f>
        <v>1588</v>
      </c>
      <c r="J268" s="221">
        <f t="shared" si="17"/>
        <v>305094</v>
      </c>
      <c r="K268" s="221">
        <f>INDEX(Data[],MATCH($A268,Data[Dist],0),MATCH(K$5,Data[#Headers],0))</f>
        <v>405843</v>
      </c>
      <c r="M268" s="59">
        <f>INDEX('Payment Total'!$A$7:$H$331,MATCH('Payment by Source'!$A268,'Payment Total'!$A$7:$A$331,0),6)-K268</f>
        <v>0</v>
      </c>
      <c r="O268" s="263">
        <f t="shared" si="20"/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3058311</v>
      </c>
      <c r="X268" s="136">
        <f t="shared" si="18"/>
        <v>305831</v>
      </c>
      <c r="Y268" s="136">
        <f t="shared" si="19"/>
        <v>3058310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13525</v>
      </c>
      <c r="D269" s="221">
        <f>IF(Notes!$B$2="June",ROUND('Budget by Source'!D269/10,0)+S269,ROUND('Budget by Source'!D269/10,0))</f>
        <v>64194</v>
      </c>
      <c r="E269" s="221">
        <f>IF(Notes!$B$2="June",ROUND('Budget by Source'!E269/10,0)+T269,ROUND('Budget by Source'!E269/10,0))</f>
        <v>5241</v>
      </c>
      <c r="F269" s="221">
        <f>IF(Notes!$B$2="June",ROUND('Budget by Source'!F269/10,0)+U269,ROUND('Budget by Source'!F269/10,0))</f>
        <v>5394</v>
      </c>
      <c r="G269" s="221">
        <f>IF(Notes!$B$2="June",ROUND('Budget by Source'!G269/10,0)+V269,ROUND('Budget by Source'!G269/10,0))</f>
        <v>23602</v>
      </c>
      <c r="H269" s="221">
        <f>INDEX('AEA Funding and Payments'!$A$8:$T$332,MATCH('Payment by Source'!$A269,'AEA Funding and Payments'!$A$8:$A$332,0),MATCH(H$5,'AEA Funding and Payments'!$A$4:$T$4,0))</f>
        <v>12594</v>
      </c>
      <c r="I269" s="221">
        <f>IF(Notes!$B$2="June",INDEX('AEA Funding and Payments'!$A$8:$AI$332,MATCH('Payment by Source'!$A269,'AEA Funding and Payments'!$A$8:$A$332,0),34),
ROUND(INDEX('AEA Funding and Payments'!$A$8:$T$332,MATCH('Payment by Source'!$A269,'AEA Funding and Payments'!$A$8:$A$332,0),MATCH(I$5,'AEA Funding and Payments'!$A$4:$T$4,0))/10,0))</f>
        <v>2021</v>
      </c>
      <c r="J269" s="221">
        <f t="shared" si="17"/>
        <v>294110</v>
      </c>
      <c r="K269" s="221">
        <f>INDEX(Data[],MATCH($A269,Data[Dist],0),MATCH(K$5,Data[#Headers],0))</f>
        <v>420681</v>
      </c>
      <c r="M269" s="59">
        <f>INDEX('Payment Total'!$A$7:$H$331,MATCH('Payment by Source'!$A269,'Payment Total'!$A$7:$A$331,0),6)-K269</f>
        <v>0</v>
      </c>
      <c r="O269" s="263">
        <f t="shared" si="20"/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2950422</v>
      </c>
      <c r="X269" s="136">
        <f t="shared" si="18"/>
        <v>295042</v>
      </c>
      <c r="Y269" s="136">
        <f t="shared" si="19"/>
        <v>2950420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18693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9623</v>
      </c>
      <c r="F270" s="221">
        <f>IF(Notes!$B$2="June",ROUND('Budget by Source'!F270/10,0)+U270,ROUND('Budget by Source'!F270/10,0))</f>
        <v>9884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22954</v>
      </c>
      <c r="I270" s="221">
        <f>IF(Notes!$B$2="June",INDEX('AEA Funding and Payments'!$A$8:$AI$332,MATCH('Payment by Source'!$A270,'AEA Funding and Payments'!$A$8:$A$332,0),34),
ROUND(INDEX('AEA Funding and Payments'!$A$8:$T$332,MATCH('Payment by Source'!$A270,'AEA Funding and Payments'!$A$8:$A$332,0),MATCH(I$5,'AEA Funding and Payments'!$A$4:$T$4,0))/10,0))</f>
        <v>3683</v>
      </c>
      <c r="J270" s="221">
        <f t="shared" si="17"/>
        <v>498449</v>
      </c>
      <c r="K270" s="221">
        <f>INDEX(Data[],MATCH($A270,Data[Dist],0),MATCH(K$5,Data[#Headers],0))</f>
        <v>748916</v>
      </c>
      <c r="M270" s="59">
        <f>INDEX('Payment Total'!$A$7:$H$331,MATCH('Payment by Source'!$A270,'Payment Total'!$A$7:$A$331,0),6)-K270</f>
        <v>0</v>
      </c>
      <c r="O270" s="263">
        <f t="shared" si="20"/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5001157</v>
      </c>
      <c r="X270" s="136">
        <f t="shared" si="18"/>
        <v>500116</v>
      </c>
      <c r="Y270" s="136">
        <f t="shared" si="19"/>
        <v>5001160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27208</v>
      </c>
      <c r="E271" s="221">
        <f>IF(Notes!$B$2="June",ROUND('Budget by Source'!E271/10,0)+T271,ROUND('Budget by Source'!E271/10,0))</f>
        <v>1323</v>
      </c>
      <c r="F271" s="221">
        <f>IF(Notes!$B$2="June",ROUND('Budget by Source'!F271/10,0)+U271,ROUND('Budget by Source'!F271/10,0))</f>
        <v>1544</v>
      </c>
      <c r="G271" s="221">
        <f>IF(Notes!$B$2="June",ROUND('Budget by Source'!G271/10,0)+V271,ROUND('Budget by Source'!G271/10,0))</f>
        <v>7451</v>
      </c>
      <c r="H271" s="221">
        <f>INDEX('AEA Funding and Payments'!$A$8:$T$332,MATCH('Payment by Source'!$A271,'AEA Funding and Payments'!$A$8:$A$332,0),MATCH(H$5,'AEA Funding and Payments'!$A$4:$T$4,0))</f>
        <v>3928</v>
      </c>
      <c r="I271" s="221">
        <f>IF(Notes!$B$2="June",INDEX('AEA Funding and Payments'!$A$8:$AI$332,MATCH('Payment by Source'!$A271,'AEA Funding and Payments'!$A$8:$A$332,0),34),
ROUND(INDEX('AEA Funding and Payments'!$A$8:$T$332,MATCH('Payment by Source'!$A271,'AEA Funding and Payments'!$A$8:$A$332,0),MATCH(I$5,'AEA Funding and Payments'!$A$4:$T$4,0))/10,0))</f>
        <v>675</v>
      </c>
      <c r="J271" s="221">
        <f t="shared" si="17"/>
        <v>95407</v>
      </c>
      <c r="K271" s="221">
        <f>INDEX(Data[],MATCH($A271,Data[Dist],0),MATCH(K$5,Data[#Headers],0))</f>
        <v>139127</v>
      </c>
      <c r="M271" s="59">
        <f>INDEX('Payment Total'!$A$7:$H$331,MATCH('Payment by Source'!$A271,'Payment Total'!$A$7:$A$331,0),6)-K271</f>
        <v>0</v>
      </c>
      <c r="O271" s="263">
        <f t="shared" si="20"/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956831</v>
      </c>
      <c r="X271" s="136">
        <f t="shared" si="18"/>
        <v>95683</v>
      </c>
      <c r="Y271" s="136">
        <f t="shared" si="19"/>
        <v>956830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24264</v>
      </c>
      <c r="D272" s="221">
        <f>IF(Notes!$B$2="June",ROUND('Budget by Source'!D272/10,0)+S272,ROUND('Budget by Source'!D272/10,0))</f>
        <v>123095</v>
      </c>
      <c r="E272" s="221">
        <f>IF(Notes!$B$2="June",ROUND('Budget by Source'!E272/10,0)+T272,ROUND('Budget by Source'!E272/10,0))</f>
        <v>12527</v>
      </c>
      <c r="F272" s="221">
        <f>IF(Notes!$B$2="June",ROUND('Budget by Source'!F272/10,0)+U272,ROUND('Budget by Source'!F272/10,0))</f>
        <v>10183</v>
      </c>
      <c r="G272" s="221">
        <f>IF(Notes!$B$2="June",ROUND('Budget by Source'!G272/10,0)+V272,ROUND('Budget by Source'!G272/10,0))</f>
        <v>52943</v>
      </c>
      <c r="H272" s="221">
        <f>INDEX('AEA Funding and Payments'!$A$8:$T$332,MATCH('Payment by Source'!$A272,'AEA Funding and Payments'!$A$8:$A$332,0),MATCH(H$5,'AEA Funding and Payments'!$A$4:$T$4,0))</f>
        <v>29587</v>
      </c>
      <c r="I272" s="221">
        <f>IF(Notes!$B$2="June",INDEX('AEA Funding and Payments'!$A$8:$AI$332,MATCH('Payment by Source'!$A272,'AEA Funding and Payments'!$A$8:$A$332,0),34),
ROUND(INDEX('AEA Funding and Payments'!$A$8:$T$332,MATCH('Payment by Source'!$A272,'AEA Funding and Payments'!$A$8:$A$332,0),MATCH(I$5,'AEA Funding and Payments'!$A$4:$T$4,0))/10,0))</f>
        <v>4723</v>
      </c>
      <c r="J272" s="221">
        <f t="shared" si="17"/>
        <v>934544</v>
      </c>
      <c r="K272" s="221">
        <f>INDEX(Data[],MATCH($A272,Data[Dist],0),MATCH(K$5,Data[#Headers],0))</f>
        <v>1191866</v>
      </c>
      <c r="M272" s="59">
        <f>INDEX('Payment Total'!$A$7:$H$331,MATCH('Payment by Source'!$A272,'Payment Total'!$A$7:$A$331,0),6)-K272</f>
        <v>0</v>
      </c>
      <c r="O272" s="263">
        <f t="shared" si="20"/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9826504</v>
      </c>
      <c r="X272" s="136">
        <f t="shared" si="18"/>
        <v>982650</v>
      </c>
      <c r="Y272" s="136">
        <f t="shared" si="19"/>
        <v>9826500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15116</v>
      </c>
      <c r="D273" s="221">
        <f>IF(Notes!$B$2="June",ROUND('Budget by Source'!D273/10,0)+S273,ROUND('Budget by Source'!D273/10,0))</f>
        <v>64489</v>
      </c>
      <c r="E273" s="221">
        <f>IF(Notes!$B$2="June",ROUND('Budget by Source'!E273/10,0)+T273,ROUND('Budget by Source'!E273/10,0))</f>
        <v>4442</v>
      </c>
      <c r="F273" s="221">
        <f>IF(Notes!$B$2="June",ROUND('Budget by Source'!F273/10,0)+U273,ROUND('Budget by Source'!F273/10,0))</f>
        <v>5505</v>
      </c>
      <c r="G273" s="221">
        <f>IF(Notes!$B$2="June",ROUND('Budget by Source'!G273/10,0)+V273,ROUND('Budget by Source'!G273/10,0))</f>
        <v>26226</v>
      </c>
      <c r="H273" s="221">
        <f>INDEX('AEA Funding and Payments'!$A$8:$T$332,MATCH('Payment by Source'!$A273,'AEA Funding and Payments'!$A$8:$A$332,0),MATCH(H$5,'AEA Funding and Payments'!$A$4:$T$4,0))</f>
        <v>11926</v>
      </c>
      <c r="I273" s="221">
        <f>IF(Notes!$B$2="June",INDEX('AEA Funding and Payments'!$A$8:$AI$332,MATCH('Payment by Source'!$A273,'AEA Funding and Payments'!$A$8:$A$332,0),34),
ROUND(INDEX('AEA Funding and Payments'!$A$8:$T$332,MATCH('Payment by Source'!$A273,'AEA Funding and Payments'!$A$8:$A$332,0),MATCH(I$5,'AEA Funding and Payments'!$A$4:$T$4,0))/10,0))</f>
        <v>1946</v>
      </c>
      <c r="J273" s="221">
        <f t="shared" si="17"/>
        <v>329896</v>
      </c>
      <c r="K273" s="221">
        <f>INDEX(Data[],MATCH($A273,Data[Dist],0),MATCH(K$5,Data[#Headers],0))</f>
        <v>459546</v>
      </c>
      <c r="M273" s="59">
        <f>INDEX('Payment Total'!$A$7:$H$331,MATCH('Payment by Source'!$A273,'Payment Total'!$A$7:$A$331,0),6)-K273</f>
        <v>0</v>
      </c>
      <c r="O273" s="263">
        <f t="shared" si="20"/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3307067</v>
      </c>
      <c r="X273" s="136">
        <f t="shared" si="18"/>
        <v>330707</v>
      </c>
      <c r="Y273" s="136">
        <f t="shared" si="19"/>
        <v>3307070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98220</v>
      </c>
      <c r="D274" s="221">
        <f>IF(Notes!$B$2="June",ROUND('Budget by Source'!D274/10,0)+S274,ROUND('Budget by Source'!D274/10,0))</f>
        <v>543472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293804</v>
      </c>
      <c r="H274" s="221">
        <f>INDEX('AEA Funding and Payments'!$A$8:$T$332,MATCH('Payment by Source'!$A274,'AEA Funding and Payments'!$A$8:$A$332,0),MATCH(H$5,'AEA Funding and Payments'!$A$4:$T$4,0))</f>
        <v>157557</v>
      </c>
      <c r="I274" s="221">
        <f>IF(Notes!$B$2="June",INDEX('AEA Funding and Payments'!$A$8:$AI$332,MATCH('Payment by Source'!$A274,'AEA Funding and Payments'!$A$8:$A$332,0),34),
ROUND(INDEX('AEA Funding and Payments'!$A$8:$T$332,MATCH('Payment by Source'!$A274,'AEA Funding and Payments'!$A$8:$A$332,0),MATCH(I$5,'AEA Funding and Payments'!$A$4:$T$4,0))/10,0))</f>
        <v>23542</v>
      </c>
      <c r="J274" s="221">
        <f t="shared" si="17"/>
        <v>4858266</v>
      </c>
      <c r="K274" s="221">
        <f>INDEX(Data[],MATCH($A274,Data[Dist],0),MATCH(K$5,Data[#Headers],0))</f>
        <v>6088696</v>
      </c>
      <c r="M274" s="59">
        <f>INDEX('Payment Total'!$A$7:$H$331,MATCH('Payment by Source'!$A274,'Payment Total'!$A$7:$A$331,0),6)-K274</f>
        <v>0</v>
      </c>
      <c r="O274" s="263">
        <f t="shared" si="20"/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48693397</v>
      </c>
      <c r="X274" s="136">
        <f t="shared" si="18"/>
        <v>4869340</v>
      </c>
      <c r="Y274" s="136">
        <f t="shared" si="19"/>
        <v>48693400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55682</v>
      </c>
      <c r="D275" s="221">
        <f>IF(Notes!$B$2="June",ROUND('Budget by Source'!D275/10,0)+S275,ROUND('Budget by Source'!D275/10,0))</f>
        <v>166319</v>
      </c>
      <c r="E275" s="221">
        <f>IF(Notes!$B$2="June",ROUND('Budget by Source'!E275/10,0)+T275,ROUND('Budget by Source'!E275/10,0))</f>
        <v>17633</v>
      </c>
      <c r="F275" s="221">
        <f>IF(Notes!$B$2="June",ROUND('Budget by Source'!F275/10,0)+U275,ROUND('Budget by Source'!F275/10,0))</f>
        <v>17699</v>
      </c>
      <c r="G275" s="221">
        <f>IF(Notes!$B$2="June",ROUND('Budget by Source'!G275/10,0)+V275,ROUND('Budget by Source'!G275/10,0))</f>
        <v>82268</v>
      </c>
      <c r="H275" s="221">
        <f>INDEX('AEA Funding and Payments'!$A$8:$T$332,MATCH('Payment by Source'!$A275,'AEA Funding and Payments'!$A$8:$A$332,0),MATCH(H$5,'AEA Funding and Payments'!$A$4:$T$4,0))</f>
        <v>42378</v>
      </c>
      <c r="I275" s="221">
        <f>IF(Notes!$B$2="June",INDEX('AEA Funding and Payments'!$A$8:$AI$332,MATCH('Payment by Source'!$A275,'AEA Funding and Payments'!$A$8:$A$332,0),34),
ROUND(INDEX('AEA Funding and Payments'!$A$8:$T$332,MATCH('Payment by Source'!$A275,'AEA Funding and Payments'!$A$8:$A$332,0),MATCH(I$5,'AEA Funding and Payments'!$A$4:$T$4,0))/10,0))</f>
        <v>7039</v>
      </c>
      <c r="J275" s="221">
        <f t="shared" si="17"/>
        <v>1283082</v>
      </c>
      <c r="K275" s="221">
        <f>INDEX(Data[],MATCH($A275,Data[Dist],0),MATCH(K$5,Data[#Headers],0))</f>
        <v>1672100</v>
      </c>
      <c r="M275" s="59">
        <f>INDEX('Payment Total'!$A$7:$H$331,MATCH('Payment by Source'!$A275,'Payment Total'!$A$7:$A$331,0),6)-K275</f>
        <v>0</v>
      </c>
      <c r="O275" s="263">
        <f t="shared" si="20"/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12860354</v>
      </c>
      <c r="X275" s="136">
        <f t="shared" si="18"/>
        <v>1286035</v>
      </c>
      <c r="Y275" s="136">
        <f t="shared" si="19"/>
        <v>12860350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27050</v>
      </c>
      <c r="D276" s="221">
        <f>IF(Notes!$B$2="June",ROUND('Budget by Source'!D276/10,0)+S276,ROUND('Budget by Source'!D276/10,0))</f>
        <v>97194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9316</v>
      </c>
      <c r="G276" s="221">
        <f>IF(Notes!$B$2="June",ROUND('Budget by Source'!G276/10,0)+V276,ROUND('Budget by Source'!G276/10,0))</f>
        <v>44300</v>
      </c>
      <c r="H276" s="221">
        <f>INDEX('AEA Funding and Payments'!$A$8:$T$332,MATCH('Payment by Source'!$A276,'AEA Funding and Payments'!$A$8:$A$332,0),MATCH(H$5,'AEA Funding and Payments'!$A$4:$T$4,0))</f>
        <v>23793</v>
      </c>
      <c r="I276" s="221">
        <f>IF(Notes!$B$2="June",INDEX('AEA Funding and Payments'!$A$8:$AI$332,MATCH('Payment by Source'!$A276,'AEA Funding and Payments'!$A$8:$A$332,0),34),
ROUND(INDEX('AEA Funding and Payments'!$A$8:$T$332,MATCH('Payment by Source'!$A276,'AEA Funding and Payments'!$A$8:$A$332,0),MATCH(I$5,'AEA Funding and Payments'!$A$4:$T$4,0))/10,0))</f>
        <v>3821</v>
      </c>
      <c r="J276" s="221">
        <f t="shared" si="17"/>
        <v>-18586</v>
      </c>
      <c r="K276" s="221">
        <f>INDEX(Data[],MATCH($A276,Data[Dist],0),MATCH(K$5,Data[#Headers],0))</f>
        <v>195963</v>
      </c>
      <c r="M276" s="59">
        <f>INDEX('Payment Total'!$A$7:$H$331,MATCH('Payment by Source'!$A276,'Payment Total'!$A$7:$A$331,0),6)-K276</f>
        <v>0</v>
      </c>
      <c r="O276" s="263">
        <f t="shared" si="20"/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-168421</v>
      </c>
      <c r="X276" s="136">
        <f t="shared" si="18"/>
        <v>-16842</v>
      </c>
      <c r="Y276" s="136">
        <f t="shared" si="19"/>
        <v>-168420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11934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2813</v>
      </c>
      <c r="F277" s="221">
        <f>IF(Notes!$B$2="June",ROUND('Budget by Source'!F277/10,0)+U277,ROUND('Budget by Source'!F277/10,0))</f>
        <v>2971</v>
      </c>
      <c r="G277" s="221">
        <f>IF(Notes!$B$2="June",ROUND('Budget by Source'!G277/10,0)+V277,ROUND('Budget by Source'!G277/10,0))</f>
        <v>15908</v>
      </c>
      <c r="H277" s="221">
        <f>INDEX('AEA Funding and Payments'!$A$8:$T$332,MATCH('Payment by Source'!$A277,'AEA Funding and Payments'!$A$8:$A$332,0),MATCH(H$5,'AEA Funding and Payments'!$A$4:$T$4,0))</f>
        <v>8255</v>
      </c>
      <c r="I277" s="221">
        <f>IF(Notes!$B$2="June",INDEX('AEA Funding and Payments'!$A$8:$AI$332,MATCH('Payment by Source'!$A277,'AEA Funding and Payments'!$A$8:$A$332,0),34),
ROUND(INDEX('AEA Funding and Payments'!$A$8:$T$332,MATCH('Payment by Source'!$A277,'AEA Funding and Payments'!$A$8:$A$332,0),MATCH(I$5,'AEA Funding and Payments'!$A$4:$T$4,0))/10,0))</f>
        <v>1270</v>
      </c>
      <c r="J277" s="221">
        <f t="shared" si="17"/>
        <v>240676</v>
      </c>
      <c r="K277" s="221">
        <f>INDEX(Data[],MATCH($A277,Data[Dist],0),MATCH(K$5,Data[#Headers],0))</f>
        <v>347434</v>
      </c>
      <c r="M277" s="59">
        <f>INDEX('Payment Total'!$A$7:$H$331,MATCH('Payment by Source'!$A277,'Payment Total'!$A$7:$A$331,0),6)-K277</f>
        <v>0</v>
      </c>
      <c r="O277" s="263">
        <f t="shared" si="20"/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2412810</v>
      </c>
      <c r="X277" s="136">
        <f t="shared" si="18"/>
        <v>241281</v>
      </c>
      <c r="Y277" s="136">
        <f t="shared" si="19"/>
        <v>2412810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9149</v>
      </c>
      <c r="D278" s="221">
        <f>IF(Notes!$B$2="June",ROUND('Budget by Source'!D278/10,0)+S278,ROUND('Budget by Source'!D278/10,0))</f>
        <v>28773</v>
      </c>
      <c r="E278" s="221">
        <f>IF(Notes!$B$2="June",ROUND('Budget by Source'!E278/10,0)+T278,ROUND('Budget by Source'!E278/10,0))</f>
        <v>1582</v>
      </c>
      <c r="F278" s="221">
        <f>IF(Notes!$B$2="June",ROUND('Budget by Source'!F278/10,0)+U278,ROUND('Budget by Source'!F278/10,0))</f>
        <v>1879</v>
      </c>
      <c r="G278" s="221">
        <f>IF(Notes!$B$2="June",ROUND('Budget by Source'!G278/10,0)+V278,ROUND('Budget by Source'!G278/10,0))</f>
        <v>7629</v>
      </c>
      <c r="H278" s="221">
        <f>INDEX('AEA Funding and Payments'!$A$8:$T$332,MATCH('Payment by Source'!$A278,'AEA Funding and Payments'!$A$8:$A$332,0),MATCH(H$5,'AEA Funding and Payments'!$A$4:$T$4,0))</f>
        <v>4226</v>
      </c>
      <c r="I278" s="221">
        <f>IF(Notes!$B$2="June",INDEX('AEA Funding and Payments'!$A$8:$AI$332,MATCH('Payment by Source'!$A278,'AEA Funding and Payments'!$A$8:$A$332,0),34),
ROUND(INDEX('AEA Funding and Payments'!$A$8:$T$332,MATCH('Payment by Source'!$A278,'AEA Funding and Payments'!$A$8:$A$332,0),MATCH(I$5,'AEA Funding and Payments'!$A$4:$T$4,0))/10,0))</f>
        <v>650</v>
      </c>
      <c r="J278" s="221">
        <f t="shared" si="17"/>
        <v>130490</v>
      </c>
      <c r="K278" s="221">
        <f>INDEX(Data[],MATCH($A278,Data[Dist],0),MATCH(K$5,Data[#Headers],0))</f>
        <v>184378</v>
      </c>
      <c r="M278" s="59">
        <f>INDEX('Payment Total'!$A$7:$H$331,MATCH('Payment by Source'!$A278,'Payment Total'!$A$7:$A$331,0),6)-K278</f>
        <v>0</v>
      </c>
      <c r="O278" s="263">
        <f t="shared" si="20"/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1307786</v>
      </c>
      <c r="X278" s="136">
        <f t="shared" si="18"/>
        <v>130779</v>
      </c>
      <c r="Y278" s="136">
        <f t="shared" si="19"/>
        <v>1307790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10344</v>
      </c>
      <c r="D279" s="221">
        <f>IF(Notes!$B$2="June",ROUND('Budget by Source'!D279/10,0)+S279,ROUND('Budget by Source'!D279/10,0))</f>
        <v>57945</v>
      </c>
      <c r="E279" s="221">
        <f>IF(Notes!$B$2="June",ROUND('Budget by Source'!E279/10,0)+T279,ROUND('Budget by Source'!E279/10,0))</f>
        <v>5155</v>
      </c>
      <c r="F279" s="221">
        <f>IF(Notes!$B$2="June",ROUND('Budget by Source'!F279/10,0)+U279,ROUND('Budget by Source'!F279/10,0))</f>
        <v>4664</v>
      </c>
      <c r="G279" s="221">
        <f>IF(Notes!$B$2="June",ROUND('Budget by Source'!G279/10,0)+V279,ROUND('Budget by Source'!G279/10,0))</f>
        <v>21790</v>
      </c>
      <c r="H279" s="221">
        <f>INDEX('AEA Funding and Payments'!$A$8:$T$332,MATCH('Payment by Source'!$A279,'AEA Funding and Payments'!$A$8:$A$332,0),MATCH(H$5,'AEA Funding and Payments'!$A$4:$T$4,0))</f>
        <v>11937</v>
      </c>
      <c r="I279" s="221">
        <f>IF(Notes!$B$2="June",INDEX('AEA Funding and Payments'!$A$8:$AI$332,MATCH('Payment by Source'!$A279,'AEA Funding and Payments'!$A$8:$A$332,0),34),
ROUND(INDEX('AEA Funding and Payments'!$A$8:$T$332,MATCH('Payment by Source'!$A279,'AEA Funding and Payments'!$A$8:$A$332,0),MATCH(I$5,'AEA Funding and Payments'!$A$4:$T$4,0))/10,0))</f>
        <v>2041</v>
      </c>
      <c r="J279" s="221">
        <f t="shared" si="17"/>
        <v>318802</v>
      </c>
      <c r="K279" s="221">
        <f>INDEX(Data[],MATCH($A279,Data[Dist],0),MATCH(K$5,Data[#Headers],0))</f>
        <v>432678</v>
      </c>
      <c r="M279" s="59">
        <f>INDEX('Payment Total'!$A$7:$H$331,MATCH('Payment by Source'!$A279,'Payment Total'!$A$7:$A$331,0),6)-K279</f>
        <v>0</v>
      </c>
      <c r="O279" s="263">
        <f t="shared" si="20"/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3196284</v>
      </c>
      <c r="X279" s="136">
        <f t="shared" si="18"/>
        <v>319628</v>
      </c>
      <c r="Y279" s="136">
        <f t="shared" si="19"/>
        <v>3196280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220734</v>
      </c>
      <c r="E280" s="221">
        <f>IF(Notes!$B$2="June",ROUND('Budget by Source'!E280/10,0)+T280,ROUND('Budget by Source'!E280/10,0))</f>
        <v>27311</v>
      </c>
      <c r="F280" s="221">
        <f>IF(Notes!$B$2="June",ROUND('Budget by Source'!F280/10,0)+U280,ROUND('Budget by Source'!F280/10,0))</f>
        <v>21817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56707</v>
      </c>
      <c r="I280" s="221">
        <f>IF(Notes!$B$2="June",INDEX('AEA Funding and Payments'!$A$8:$AI$332,MATCH('Payment by Source'!$A280,'AEA Funding and Payments'!$A$8:$A$332,0),34),
ROUND(INDEX('AEA Funding and Payments'!$A$8:$T$332,MATCH('Payment by Source'!$A280,'AEA Funding and Payments'!$A$8:$A$332,0),MATCH(I$5,'AEA Funding and Payments'!$A$4:$T$4,0))/10,0))</f>
        <v>9103</v>
      </c>
      <c r="J280" s="221">
        <f t="shared" si="17"/>
        <v>2163811</v>
      </c>
      <c r="K280" s="221">
        <f>INDEX(Data[],MATCH($A280,Data[Dist],0),MATCH(K$5,Data[#Headers],0))</f>
        <v>2677650</v>
      </c>
      <c r="M280" s="59">
        <f>INDEX('Payment Total'!$A$7:$H$331,MATCH('Payment by Source'!$A280,'Payment Total'!$A$7:$A$331,0),6)-K280</f>
        <v>0</v>
      </c>
      <c r="O280" s="263">
        <f t="shared" si="20"/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21678578</v>
      </c>
      <c r="X280" s="136">
        <f t="shared" si="18"/>
        <v>2167858</v>
      </c>
      <c r="Y280" s="136">
        <f t="shared" si="19"/>
        <v>21678580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3181</v>
      </c>
      <c r="D281" s="221">
        <f>IF(Notes!$B$2="June",ROUND('Budget by Source'!D281/10,0)+S281,ROUND('Budget by Source'!D281/10,0))</f>
        <v>19056</v>
      </c>
      <c r="E281" s="221">
        <f>IF(Notes!$B$2="June",ROUND('Budget by Source'!E281/10,0)+T281,ROUND('Budget by Source'!E281/10,0))</f>
        <v>1095</v>
      </c>
      <c r="F281" s="221">
        <f>IF(Notes!$B$2="June",ROUND('Budget by Source'!F281/10,0)+U281,ROUND('Budget by Source'!F281/10,0))</f>
        <v>967</v>
      </c>
      <c r="G281" s="221">
        <f>IF(Notes!$B$2="June",ROUND('Budget by Source'!G281/10,0)+V281,ROUND('Budget by Source'!G281/10,0))</f>
        <v>5665</v>
      </c>
      <c r="H281" s="221">
        <f>INDEX('AEA Funding and Payments'!$A$8:$T$332,MATCH('Payment by Source'!$A281,'AEA Funding and Payments'!$A$8:$A$332,0),MATCH(H$5,'AEA Funding and Payments'!$A$4:$T$4,0))</f>
        <v>2866</v>
      </c>
      <c r="I281" s="221">
        <f>IF(Notes!$B$2="June",INDEX('AEA Funding and Payments'!$A$8:$AI$332,MATCH('Payment by Source'!$A281,'AEA Funding and Payments'!$A$8:$A$332,0),34),
ROUND(INDEX('AEA Funding and Payments'!$A$8:$T$332,MATCH('Payment by Source'!$A281,'AEA Funding and Payments'!$A$8:$A$332,0),MATCH(I$5,'AEA Funding and Payments'!$A$4:$T$4,0))/10,0))</f>
        <v>544</v>
      </c>
      <c r="J281" s="221">
        <f t="shared" si="17"/>
        <v>74680</v>
      </c>
      <c r="K281" s="221">
        <f>INDEX(Data[],MATCH($A281,Data[Dist],0),MATCH(K$5,Data[#Headers],0))</f>
        <v>108054</v>
      </c>
      <c r="M281" s="59">
        <f>INDEX('Payment Total'!$A$7:$H$331,MATCH('Payment by Source'!$A281,'Payment Total'!$A$7:$A$331,0),6)-K281</f>
        <v>0</v>
      </c>
      <c r="O281" s="263">
        <f t="shared" si="20"/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748810</v>
      </c>
      <c r="X281" s="136">
        <f t="shared" si="18"/>
        <v>74881</v>
      </c>
      <c r="Y281" s="136">
        <f t="shared" si="19"/>
        <v>748810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90271</v>
      </c>
      <c r="E282" s="221">
        <f>IF(Notes!$B$2="June",ROUND('Budget by Source'!E282/10,0)+T282,ROUND('Budget by Source'!E282/10,0))</f>
        <v>7379</v>
      </c>
      <c r="F282" s="221">
        <f>IF(Notes!$B$2="June",ROUND('Budget by Source'!F282/10,0)+U282,ROUND('Budget by Source'!F282/10,0))</f>
        <v>6693</v>
      </c>
      <c r="G282" s="221">
        <f>IF(Notes!$B$2="June",ROUND('Budget by Source'!G282/10,0)+V282,ROUND('Budget by Source'!G282/10,0))</f>
        <v>36821</v>
      </c>
      <c r="H282" s="221">
        <f>INDEX('AEA Funding and Payments'!$A$8:$T$332,MATCH('Payment by Source'!$A282,'AEA Funding and Payments'!$A$8:$A$332,0),MATCH(H$5,'AEA Funding and Payments'!$A$4:$T$4,0))</f>
        <v>20726</v>
      </c>
      <c r="I282" s="221">
        <f>IF(Notes!$B$2="June",INDEX('AEA Funding and Payments'!$A$8:$AI$332,MATCH('Payment by Source'!$A282,'AEA Funding and Payments'!$A$8:$A$332,0),34),
ROUND(INDEX('AEA Funding and Payments'!$A$8:$T$332,MATCH('Payment by Source'!$A282,'AEA Funding and Payments'!$A$8:$A$332,0),MATCH(I$5,'AEA Funding and Payments'!$A$4:$T$4,0))/10,0))</f>
        <v>3100</v>
      </c>
      <c r="J282" s="221">
        <f t="shared" si="17"/>
        <v>475021</v>
      </c>
      <c r="K282" s="221">
        <f>INDEX(Data[],MATCH($A282,Data[Dist],0),MATCH(K$5,Data[#Headers],0))</f>
        <v>653932</v>
      </c>
      <c r="M282" s="59">
        <f>INDEX('Payment Total'!$A$7:$H$331,MATCH('Payment by Source'!$A282,'Payment Total'!$A$7:$A$331,0),6)-K282</f>
        <v>0</v>
      </c>
      <c r="O282" s="263">
        <f t="shared" si="20"/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4764733</v>
      </c>
      <c r="X282" s="136">
        <f t="shared" si="18"/>
        <v>476473</v>
      </c>
      <c r="Y282" s="136">
        <f t="shared" si="19"/>
        <v>4764730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20283</v>
      </c>
      <c r="D283" s="221">
        <f>IF(Notes!$B$2="June",ROUND('Budget by Source'!D283/10,0)+S283,ROUND('Budget by Source'!D283/10,0))</f>
        <v>72458</v>
      </c>
      <c r="E283" s="221">
        <f>IF(Notes!$B$2="June",ROUND('Budget by Source'!E283/10,0)+T283,ROUND('Budget by Source'!E283/10,0))</f>
        <v>5609</v>
      </c>
      <c r="F283" s="221">
        <f>IF(Notes!$B$2="June",ROUND('Budget by Source'!F283/10,0)+U283,ROUND('Budget by Source'!F283/10,0))</f>
        <v>5929</v>
      </c>
      <c r="G283" s="221">
        <f>IF(Notes!$B$2="June",ROUND('Budget by Source'!G283/10,0)+V283,ROUND('Budget by Source'!G283/10,0))</f>
        <v>29476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IF(Notes!$B$2="June",INDEX('AEA Funding and Payments'!$A$8:$AI$332,MATCH('Payment by Source'!$A283,'AEA Funding and Payments'!$A$8:$A$332,0),34),
ROUND(INDEX('AEA Funding and Payments'!$A$8:$T$332,MATCH('Payment by Source'!$A283,'AEA Funding and Payments'!$A$8:$A$332,0),MATCH(I$5,'AEA Funding and Payments'!$A$4:$T$4,0))/10,0))</f>
        <v>2624</v>
      </c>
      <c r="J283" s="221">
        <f t="shared" si="17"/>
        <v>445593</v>
      </c>
      <c r="K283" s="221">
        <f>INDEX(Data[],MATCH($A283,Data[Dist],0),MATCH(K$5,Data[#Headers],0))</f>
        <v>598680</v>
      </c>
      <c r="M283" s="59">
        <f>INDEX('Payment Total'!$A$7:$H$331,MATCH('Payment by Source'!$A283,'Payment Total'!$A$7:$A$331,0),6)-K283</f>
        <v>0</v>
      </c>
      <c r="O283" s="263">
        <f t="shared" si="20"/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4467394</v>
      </c>
      <c r="X283" s="136">
        <f t="shared" si="18"/>
        <v>446739</v>
      </c>
      <c r="Y283" s="136">
        <f t="shared" si="19"/>
        <v>4467390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12725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6313</v>
      </c>
      <c r="F284" s="221">
        <f>IF(Notes!$B$2="June",ROUND('Budget by Source'!F284/10,0)+U284,ROUND('Budget by Source'!F284/10,0))</f>
        <v>5745</v>
      </c>
      <c r="G284" s="221">
        <f>IF(Notes!$B$2="June",ROUND('Budget by Source'!G284/10,0)+V284,ROUND('Budget by Source'!G284/10,0))</f>
        <v>30593</v>
      </c>
      <c r="H284" s="221">
        <f>INDEX('AEA Funding and Payments'!$A$8:$T$332,MATCH('Payment by Source'!$A284,'AEA Funding and Payments'!$A$8:$A$332,0),MATCH(H$5,'AEA Funding and Payments'!$A$4:$T$4,0))</f>
        <v>16097</v>
      </c>
      <c r="I284" s="221">
        <f>IF(Notes!$B$2="June",INDEX('AEA Funding and Payments'!$A$8:$AI$332,MATCH('Payment by Source'!$A284,'AEA Funding and Payments'!$A$8:$A$332,0),34),
ROUND(INDEX('AEA Funding and Payments'!$A$8:$T$332,MATCH('Payment by Source'!$A284,'AEA Funding and Payments'!$A$8:$A$332,0),MATCH(I$5,'AEA Funding and Payments'!$A$4:$T$4,0))/10,0))</f>
        <v>2692</v>
      </c>
      <c r="J284" s="221">
        <f t="shared" si="17"/>
        <v>433105</v>
      </c>
      <c r="K284" s="221">
        <f>INDEX(Data[],MATCH($A284,Data[Dist],0),MATCH(K$5,Data[#Headers],0))</f>
        <v>598826</v>
      </c>
      <c r="M284" s="59">
        <f>INDEX('Payment Total'!$A$7:$H$331,MATCH('Payment by Source'!$A284,'Payment Total'!$A$7:$A$331,0),6)-K284</f>
        <v>0</v>
      </c>
      <c r="O284" s="263">
        <f t="shared" si="20"/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4342636</v>
      </c>
      <c r="X284" s="136">
        <f t="shared" si="18"/>
        <v>434264</v>
      </c>
      <c r="Y284" s="136">
        <f t="shared" si="19"/>
        <v>4342640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13423</v>
      </c>
      <c r="D285" s="221">
        <f>IF(Notes!$B$2="June",ROUND('Budget by Source'!D285/10,0)+S285,ROUND('Budget by Source'!D285/10,0))</f>
        <v>58820</v>
      </c>
      <c r="E285" s="221">
        <f>IF(Notes!$B$2="June",ROUND('Budget by Source'!E285/10,0)+T285,ROUND('Budget by Source'!E285/10,0))</f>
        <v>4575</v>
      </c>
      <c r="F285" s="221">
        <f>IF(Notes!$B$2="June",ROUND('Budget by Source'!F285/10,0)+U285,ROUND('Budget by Source'!F285/10,0))</f>
        <v>4352</v>
      </c>
      <c r="G285" s="221">
        <f>IF(Notes!$B$2="June",ROUND('Budget by Source'!G285/10,0)+V285,ROUND('Budget by Source'!G285/10,0))</f>
        <v>22794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IF(Notes!$B$2="June",INDEX('AEA Funding and Payments'!$A$8:$AI$332,MATCH('Payment by Source'!$A285,'AEA Funding and Payments'!$A$8:$A$332,0),34),
ROUND(INDEX('AEA Funding and Payments'!$A$8:$T$332,MATCH('Payment by Source'!$A285,'AEA Funding and Payments'!$A$8:$A$332,0),MATCH(I$5,'AEA Funding and Payments'!$A$4:$T$4,0))/10,0))</f>
        <v>1789</v>
      </c>
      <c r="J285" s="221">
        <f t="shared" si="17"/>
        <v>291229</v>
      </c>
      <c r="K285" s="221">
        <f>INDEX(Data[],MATCH($A285,Data[Dist],0),MATCH(K$5,Data[#Headers],0))</f>
        <v>408549</v>
      </c>
      <c r="M285" s="59">
        <f>INDEX('Payment Total'!$A$7:$H$331,MATCH('Payment by Source'!$A285,'Payment Total'!$A$7:$A$331,0),6)-K285</f>
        <v>0</v>
      </c>
      <c r="O285" s="263">
        <f t="shared" si="20"/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2960324</v>
      </c>
      <c r="X285" s="136">
        <f t="shared" si="18"/>
        <v>296032</v>
      </c>
      <c r="Y285" s="136">
        <f t="shared" si="19"/>
        <v>2960320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17102</v>
      </c>
      <c r="D286" s="221">
        <f>IF(Notes!$B$2="June",ROUND('Budget by Source'!D286/10,0)+S286,ROUND('Budget by Source'!D286/10,0))</f>
        <v>70773</v>
      </c>
      <c r="E286" s="221">
        <f>IF(Notes!$B$2="June",ROUND('Budget by Source'!E286/10,0)+T286,ROUND('Budget by Source'!E286/10,0))</f>
        <v>5158</v>
      </c>
      <c r="F286" s="221">
        <f>IF(Notes!$B$2="June",ROUND('Budget by Source'!F286/10,0)+U286,ROUND('Budget by Source'!F286/10,0))</f>
        <v>5192</v>
      </c>
      <c r="G286" s="221">
        <f>IF(Notes!$B$2="June",ROUND('Budget by Source'!G286/10,0)+V286,ROUND('Budget by Source'!G286/10,0))</f>
        <v>25879</v>
      </c>
      <c r="H286" s="221">
        <f>INDEX('AEA Funding and Payments'!$A$8:$T$332,MATCH('Payment by Source'!$A286,'AEA Funding and Payments'!$A$8:$A$332,0),MATCH(H$5,'AEA Funding and Payments'!$A$4:$T$4,0))</f>
        <v>13873</v>
      </c>
      <c r="I286" s="221">
        <f>IF(Notes!$B$2="June",INDEX('AEA Funding and Payments'!$A$8:$AI$332,MATCH('Payment by Source'!$A286,'AEA Funding and Payments'!$A$8:$A$332,0),34),
ROUND(INDEX('AEA Funding and Payments'!$A$8:$T$332,MATCH('Payment by Source'!$A286,'AEA Funding and Payments'!$A$8:$A$332,0),MATCH(I$5,'AEA Funding and Payments'!$A$4:$T$4,0))/10,0))</f>
        <v>2137</v>
      </c>
      <c r="J286" s="221">
        <f t="shared" si="17"/>
        <v>401561</v>
      </c>
      <c r="K286" s="221">
        <f>INDEX(Data[],MATCH($A286,Data[Dist],0),MATCH(K$5,Data[#Headers],0))</f>
        <v>541675</v>
      </c>
      <c r="M286" s="59">
        <f>INDEX('Payment Total'!$A$7:$H$331,MATCH('Payment by Source'!$A286,'Payment Total'!$A$7:$A$331,0),6)-K286</f>
        <v>0</v>
      </c>
      <c r="O286" s="263">
        <f t="shared" si="20"/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4025667</v>
      </c>
      <c r="X286" s="136">
        <f t="shared" si="18"/>
        <v>402567</v>
      </c>
      <c r="Y286" s="136">
        <f t="shared" si="19"/>
        <v>4025670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2786</v>
      </c>
      <c r="D287" s="221">
        <f>IF(Notes!$B$2="June",ROUND('Budget by Source'!D287/10,0)+S287,ROUND('Budget by Source'!D287/10,0))</f>
        <v>34535</v>
      </c>
      <c r="E287" s="221">
        <f>IF(Notes!$B$2="June",ROUND('Budget by Source'!E287/10,0)+T287,ROUND('Budget by Source'!E287/10,0))</f>
        <v>2324</v>
      </c>
      <c r="F287" s="221">
        <f>IF(Notes!$B$2="June",ROUND('Budget by Source'!F287/10,0)+U287,ROUND('Budget by Source'!F287/10,0))</f>
        <v>1856</v>
      </c>
      <c r="G287" s="221">
        <f>IF(Notes!$B$2="June",ROUND('Budget by Source'!G287/10,0)+V287,ROUND('Budget by Source'!G287/10,0))</f>
        <v>9775</v>
      </c>
      <c r="H287" s="221">
        <f>INDEX('AEA Funding and Payments'!$A$8:$T$332,MATCH('Payment by Source'!$A287,'AEA Funding and Payments'!$A$8:$A$332,0),MATCH(H$5,'AEA Funding and Payments'!$A$4:$T$4,0))</f>
        <v>4945</v>
      </c>
      <c r="I287" s="221">
        <f>IF(Notes!$B$2="June",INDEX('AEA Funding and Payments'!$A$8:$AI$332,MATCH('Payment by Source'!$A287,'AEA Funding and Payments'!$A$8:$A$332,0),34),
ROUND(INDEX('AEA Funding and Payments'!$A$8:$T$332,MATCH('Payment by Source'!$A287,'AEA Funding and Payments'!$A$8:$A$332,0),MATCH(I$5,'AEA Funding and Payments'!$A$4:$T$4,0))/10,0))</f>
        <v>828</v>
      </c>
      <c r="J287" s="221">
        <f t="shared" si="17"/>
        <v>130928</v>
      </c>
      <c r="K287" s="221">
        <f>INDEX(Data[],MATCH($A287,Data[Dist],0),MATCH(K$5,Data[#Headers],0))</f>
        <v>187977</v>
      </c>
      <c r="M287" s="59">
        <f>INDEX('Payment Total'!$A$7:$H$331,MATCH('Payment by Source'!$A287,'Payment Total'!$A$7:$A$331,0),6)-K287</f>
        <v>0</v>
      </c>
      <c r="O287" s="263">
        <f t="shared" si="20"/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1312933</v>
      </c>
      <c r="X287" s="136">
        <f t="shared" si="18"/>
        <v>131293</v>
      </c>
      <c r="Y287" s="136">
        <f t="shared" si="19"/>
        <v>1312930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14990</v>
      </c>
      <c r="D288" s="221">
        <f>IF(Notes!$B$2="June",ROUND('Budget by Source'!D288/10,0)+S288,ROUND('Budget by Source'!D288/10,0))</f>
        <v>47114</v>
      </c>
      <c r="E288" s="221">
        <f>IF(Notes!$B$2="June",ROUND('Budget by Source'!E288/10,0)+T288,ROUND('Budget by Source'!E288/10,0))</f>
        <v>3105</v>
      </c>
      <c r="F288" s="221">
        <f>IF(Notes!$B$2="June",ROUND('Budget by Source'!F288/10,0)+U288,ROUND('Budget by Source'!F288/10,0))</f>
        <v>2979</v>
      </c>
      <c r="G288" s="221">
        <f>IF(Notes!$B$2="June",ROUND('Budget by Source'!G288/10,0)+V288,ROUND('Budget by Source'!G288/10,0))</f>
        <v>14908</v>
      </c>
      <c r="H288" s="221">
        <f>INDEX('AEA Funding and Payments'!$A$8:$T$332,MATCH('Payment by Source'!$A288,'AEA Funding and Payments'!$A$8:$A$332,0),MATCH(H$5,'AEA Funding and Payments'!$A$4:$T$4,0))</f>
        <v>8330</v>
      </c>
      <c r="I288" s="221">
        <f>IF(Notes!$B$2="June",INDEX('AEA Funding and Payments'!$A$8:$AI$332,MATCH('Payment by Source'!$A288,'AEA Funding and Payments'!$A$8:$A$332,0),34),
ROUND(INDEX('AEA Funding and Payments'!$A$8:$T$332,MATCH('Payment by Source'!$A288,'AEA Funding and Payments'!$A$8:$A$332,0),MATCH(I$5,'AEA Funding and Payments'!$A$4:$T$4,0))/10,0))</f>
        <v>1299</v>
      </c>
      <c r="J288" s="221">
        <f t="shared" si="17"/>
        <v>259174</v>
      </c>
      <c r="K288" s="221">
        <f>INDEX(Data[],MATCH($A288,Data[Dist],0),MATCH(K$5,Data[#Headers],0))</f>
        <v>351899</v>
      </c>
      <c r="M288" s="59">
        <f>INDEX('Payment Total'!$A$7:$H$331,MATCH('Payment by Source'!$A288,'Payment Total'!$A$7:$A$331,0),6)-K288</f>
        <v>0</v>
      </c>
      <c r="O288" s="263">
        <f t="shared" si="20"/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2597440</v>
      </c>
      <c r="X288" s="136">
        <f t="shared" si="18"/>
        <v>259744</v>
      </c>
      <c r="Y288" s="136">
        <f t="shared" si="19"/>
        <v>2597440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10344</v>
      </c>
      <c r="D289" s="221">
        <f>IF(Notes!$B$2="June",ROUND('Budget by Source'!D289/10,0)+S289,ROUND('Budget by Source'!D289/10,0))</f>
        <v>44831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3356</v>
      </c>
      <c r="G289" s="221">
        <f>IF(Notes!$B$2="June",ROUND('Budget by Source'!G289/10,0)+V289,ROUND('Budget by Source'!G289/10,0))</f>
        <v>15449</v>
      </c>
      <c r="H289" s="221">
        <f>INDEX('AEA Funding and Payments'!$A$8:$T$332,MATCH('Payment by Source'!$A289,'AEA Funding and Payments'!$A$8:$A$332,0),MATCH(H$5,'AEA Funding and Payments'!$A$4:$T$4,0))</f>
        <v>7417</v>
      </c>
      <c r="I289" s="221">
        <f>IF(Notes!$B$2="June",INDEX('AEA Funding and Payments'!$A$8:$AI$332,MATCH('Payment by Source'!$A289,'AEA Funding and Payments'!$A$8:$A$332,0),34),
ROUND(INDEX('AEA Funding and Payments'!$A$8:$T$332,MATCH('Payment by Source'!$A289,'AEA Funding and Payments'!$A$8:$A$332,0),MATCH(I$5,'AEA Funding and Payments'!$A$4:$T$4,0))/10,0))</f>
        <v>1230</v>
      </c>
      <c r="J289" s="221">
        <f t="shared" si="17"/>
        <v>174400</v>
      </c>
      <c r="K289" s="221">
        <f>INDEX(Data[],MATCH($A289,Data[Dist],0),MATCH(K$5,Data[#Headers],0))</f>
        <v>259612</v>
      </c>
      <c r="M289" s="59">
        <f>INDEX('Payment Total'!$A$7:$H$331,MATCH('Payment by Source'!$A289,'Payment Total'!$A$7:$A$331,0),6)-K289</f>
        <v>0</v>
      </c>
      <c r="O289" s="263">
        <f t="shared" si="20"/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1749430</v>
      </c>
      <c r="X289" s="136">
        <f t="shared" si="18"/>
        <v>174943</v>
      </c>
      <c r="Y289" s="136">
        <f t="shared" si="19"/>
        <v>1749430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5572</v>
      </c>
      <c r="D290" s="221">
        <f>IF(Notes!$B$2="June",ROUND('Budget by Source'!D290/10,0)+S290,ROUND('Budget by Source'!D290/10,0))</f>
        <v>44983</v>
      </c>
      <c r="E290" s="221">
        <f>IF(Notes!$B$2="June",ROUND('Budget by Source'!E290/10,0)+T290,ROUND('Budget by Source'!E290/10,0))</f>
        <v>2835</v>
      </c>
      <c r="F290" s="221">
        <f>IF(Notes!$B$2="June",ROUND('Budget by Source'!F290/10,0)+U290,ROUND('Budget by Source'!F290/10,0))</f>
        <v>2457</v>
      </c>
      <c r="G290" s="221">
        <f>IF(Notes!$B$2="June",ROUND('Budget by Source'!G290/10,0)+V290,ROUND('Budget by Source'!G290/10,0))</f>
        <v>12097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IF(Notes!$B$2="June",INDEX('AEA Funding and Payments'!$A$8:$AI$332,MATCH('Payment by Source'!$A290,'AEA Funding and Payments'!$A$8:$A$332,0),34),
ROUND(INDEX('AEA Funding and Payments'!$A$8:$T$332,MATCH('Payment by Source'!$A290,'AEA Funding and Payments'!$A$8:$A$332,0),MATCH(I$5,'AEA Funding and Payments'!$A$4:$T$4,0))/10,0))</f>
        <v>1077</v>
      </c>
      <c r="J290" s="221">
        <f t="shared" si="17"/>
        <v>184385</v>
      </c>
      <c r="K290" s="221">
        <f>INDEX(Data[],MATCH($A290,Data[Dist],0),MATCH(K$5,Data[#Headers],0))</f>
        <v>259828</v>
      </c>
      <c r="M290" s="59">
        <f>INDEX('Payment Total'!$A$7:$H$331,MATCH('Payment by Source'!$A290,'Payment Total'!$A$7:$A$331,0),6)-K290</f>
        <v>0</v>
      </c>
      <c r="O290" s="263">
        <f t="shared" si="20"/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1874616</v>
      </c>
      <c r="X290" s="136">
        <f t="shared" si="18"/>
        <v>187462</v>
      </c>
      <c r="Y290" s="136">
        <f t="shared" si="19"/>
        <v>1874620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1195</v>
      </c>
      <c r="D291" s="221">
        <f>IF(Notes!$B$2="June",ROUND('Budget by Source'!D291/10,0)+S291,ROUND('Budget by Source'!D291/10,0))</f>
        <v>22785</v>
      </c>
      <c r="E291" s="221">
        <f>IF(Notes!$B$2="June",ROUND('Budget by Source'!E291/10,0)+T291,ROUND('Budget by Source'!E291/10,0))</f>
        <v>1345</v>
      </c>
      <c r="F291" s="221">
        <f>IF(Notes!$B$2="June",ROUND('Budget by Source'!F291/10,0)+U291,ROUND('Budget by Source'!F291/10,0))</f>
        <v>1337</v>
      </c>
      <c r="G291" s="221">
        <f>IF(Notes!$B$2="June",ROUND('Budget by Source'!G291/10,0)+V291,ROUND('Budget by Source'!G291/10,0))</f>
        <v>6782</v>
      </c>
      <c r="H291" s="221">
        <f>INDEX('AEA Funding and Payments'!$A$8:$T$332,MATCH('Payment by Source'!$A291,'AEA Funding and Payments'!$A$8:$A$332,0),MATCH(H$5,'AEA Funding and Payments'!$A$4:$T$4,0))</f>
        <v>3522</v>
      </c>
      <c r="I291" s="221">
        <f>IF(Notes!$B$2="June",INDEX('AEA Funding and Payments'!$A$8:$AI$332,MATCH('Payment by Source'!$A291,'AEA Funding and Payments'!$A$8:$A$332,0),34),
ROUND(INDEX('AEA Funding and Payments'!$A$8:$T$332,MATCH('Payment by Source'!$A291,'AEA Funding and Payments'!$A$8:$A$332,0),MATCH(I$5,'AEA Funding and Payments'!$A$4:$T$4,0))/10,0))</f>
        <v>565</v>
      </c>
      <c r="J291" s="221">
        <f t="shared" si="17"/>
        <v>55476</v>
      </c>
      <c r="K291" s="221">
        <f>INDEX(Data[],MATCH($A291,Data[Dist],0),MATCH(K$5,Data[#Headers],0))</f>
        <v>93007</v>
      </c>
      <c r="M291" s="59">
        <f>INDEX('Payment Total'!$A$7:$H$331,MATCH('Payment by Source'!$A291,'Payment Total'!$A$7:$A$331,0),6)-K291</f>
        <v>0</v>
      </c>
      <c r="O291" s="263">
        <f t="shared" si="20"/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557260</v>
      </c>
      <c r="X291" s="136">
        <f t="shared" si="18"/>
        <v>55726</v>
      </c>
      <c r="Y291" s="136">
        <f t="shared" si="19"/>
        <v>557260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19888</v>
      </c>
      <c r="D292" s="221">
        <f>IF(Notes!$B$2="June",ROUND('Budget by Source'!D292/10,0)+S292,ROUND('Budget by Source'!D292/10,0))</f>
        <v>72155</v>
      </c>
      <c r="E292" s="221">
        <f>IF(Notes!$B$2="June",ROUND('Budget by Source'!E292/10,0)+T292,ROUND('Budget by Source'!E292/10,0))</f>
        <v>5750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29253</v>
      </c>
      <c r="H292" s="221">
        <f>INDEX('AEA Funding and Payments'!$A$8:$T$332,MATCH('Payment by Source'!$A292,'AEA Funding and Payments'!$A$8:$A$332,0),MATCH(H$5,'AEA Funding and Payments'!$A$4:$T$4,0))</f>
        <v>15144</v>
      </c>
      <c r="I292" s="221">
        <f>IF(Notes!$B$2="June",INDEX('AEA Funding and Payments'!$A$8:$AI$332,MATCH('Payment by Source'!$A292,'AEA Funding and Payments'!$A$8:$A$332,0),34),
ROUND(INDEX('AEA Funding and Payments'!$A$8:$T$332,MATCH('Payment by Source'!$A292,'AEA Funding and Payments'!$A$8:$A$332,0),MATCH(I$5,'AEA Funding and Payments'!$A$4:$T$4,0))/10,0))</f>
        <v>2337</v>
      </c>
      <c r="J292" s="221">
        <f t="shared" si="17"/>
        <v>413048</v>
      </c>
      <c r="K292" s="221">
        <f>INDEX(Data[],MATCH($A292,Data[Dist],0),MATCH(K$5,Data[#Headers],0))</f>
        <v>562796</v>
      </c>
      <c r="M292" s="59">
        <f>INDEX('Payment Total'!$A$7:$H$331,MATCH('Payment by Source'!$A292,'Payment Total'!$A$7:$A$331,0),6)-K292</f>
        <v>0</v>
      </c>
      <c r="O292" s="263">
        <f t="shared" si="20"/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4141489</v>
      </c>
      <c r="X292" s="136">
        <f t="shared" si="18"/>
        <v>414149</v>
      </c>
      <c r="Y292" s="136">
        <f t="shared" si="19"/>
        <v>4141490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15116</v>
      </c>
      <c r="D293" s="221">
        <f>IF(Notes!$B$2="June",ROUND('Budget by Source'!D293/10,0)+S293,ROUND('Budget by Source'!D293/10,0))</f>
        <v>54330</v>
      </c>
      <c r="E293" s="221">
        <f>IF(Notes!$B$2="June",ROUND('Budget by Source'!E293/10,0)+T293,ROUND('Budget by Source'!E293/10,0))</f>
        <v>2999</v>
      </c>
      <c r="F293" s="221">
        <f>IF(Notes!$B$2="June",ROUND('Budget by Source'!F293/10,0)+U293,ROUND('Budget by Source'!F293/10,0))</f>
        <v>2038</v>
      </c>
      <c r="G293" s="221">
        <f>IF(Notes!$B$2="June",ROUND('Budget by Source'!G293/10,0)+V293,ROUND('Budget by Source'!G293/10,0))</f>
        <v>14280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IF(Notes!$B$2="June",INDEX('AEA Funding and Payments'!$A$8:$AI$332,MATCH('Payment by Source'!$A293,'AEA Funding and Payments'!$A$8:$A$332,0),34),
ROUND(INDEX('AEA Funding and Payments'!$A$8:$T$332,MATCH('Payment by Source'!$A293,'AEA Funding and Payments'!$A$8:$A$332,0),MATCH(I$5,'AEA Funding and Payments'!$A$4:$T$4,0))/10,0))</f>
        <v>1142</v>
      </c>
      <c r="J293" s="221">
        <f t="shared" si="17"/>
        <v>91356</v>
      </c>
      <c r="K293" s="221">
        <f>INDEX(Data[],MATCH($A293,Data[Dist],0),MATCH(K$5,Data[#Headers],0))</f>
        <v>188841</v>
      </c>
      <c r="M293" s="59">
        <f>INDEX('Payment Total'!$A$7:$H$331,MATCH('Payment by Source'!$A293,'Payment Total'!$A$7:$A$331,0),6)-K293</f>
        <v>0</v>
      </c>
      <c r="O293" s="263">
        <f t="shared" si="20"/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919027</v>
      </c>
      <c r="X293" s="136">
        <f t="shared" si="18"/>
        <v>91903</v>
      </c>
      <c r="Y293" s="136">
        <f t="shared" si="19"/>
        <v>919030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72378</v>
      </c>
      <c r="D294" s="221">
        <f>IF(Notes!$B$2="June",ROUND('Budget by Source'!D294/10,0)+S294,ROUND('Budget by Source'!D294/10,0))</f>
        <v>280055</v>
      </c>
      <c r="E294" s="221">
        <f>IF(Notes!$B$2="June",ROUND('Budget by Source'!E294/10,0)+T294,ROUND('Budget by Source'!E294/10,0))</f>
        <v>29580</v>
      </c>
      <c r="F294" s="221">
        <f>IF(Notes!$B$2="June",ROUND('Budget by Source'!F294/10,0)+U294,ROUND('Budget by Source'!F294/10,0))</f>
        <v>30175</v>
      </c>
      <c r="G294" s="221">
        <f>IF(Notes!$B$2="June",ROUND('Budget by Source'!G294/10,0)+V294,ROUND('Budget by Source'!G294/10,0))</f>
        <v>143266</v>
      </c>
      <c r="H294" s="221">
        <f>INDEX('AEA Funding and Payments'!$A$8:$T$332,MATCH('Payment by Source'!$A294,'AEA Funding and Payments'!$A$8:$A$332,0),MATCH(H$5,'AEA Funding and Payments'!$A$4:$T$4,0))</f>
        <v>74581</v>
      </c>
      <c r="I294" s="221">
        <f>IF(Notes!$B$2="June",INDEX('AEA Funding and Payments'!$A$8:$AI$332,MATCH('Payment by Source'!$A294,'AEA Funding and Payments'!$A$8:$A$332,0),34),
ROUND(INDEX('AEA Funding and Payments'!$A$8:$T$332,MATCH('Payment by Source'!$A294,'AEA Funding and Payments'!$A$8:$A$332,0),MATCH(I$5,'AEA Funding and Payments'!$A$4:$T$4,0))/10,0))</f>
        <v>11142</v>
      </c>
      <c r="J294" s="221">
        <f t="shared" si="17"/>
        <v>2078773</v>
      </c>
      <c r="K294" s="221">
        <f>INDEX(Data[],MATCH($A294,Data[Dist],0),MATCH(K$5,Data[#Headers],0))</f>
        <v>2719950</v>
      </c>
      <c r="M294" s="59">
        <f>INDEX('Payment Total'!$A$7:$H$331,MATCH('Payment by Source'!$A294,'Payment Total'!$A$7:$A$331,0),6)-K294</f>
        <v>0</v>
      </c>
      <c r="O294" s="263">
        <f t="shared" si="20"/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20840214</v>
      </c>
      <c r="X294" s="136">
        <f t="shared" si="18"/>
        <v>2084021</v>
      </c>
      <c r="Y294" s="136">
        <f t="shared" si="19"/>
        <v>20840210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20679</v>
      </c>
      <c r="D295" s="221">
        <f>IF(Notes!$B$2="June",ROUND('Budget by Source'!D295/10,0)+S295,ROUND('Budget by Source'!D295/10,0))</f>
        <v>97026</v>
      </c>
      <c r="E295" s="221">
        <f>IF(Notes!$B$2="June",ROUND('Budget by Source'!E295/10,0)+T295,ROUND('Budget by Source'!E295/10,0))</f>
        <v>7956</v>
      </c>
      <c r="F295" s="221">
        <f>IF(Notes!$B$2="June",ROUND('Budget by Source'!F295/10,0)+U295,ROUND('Budget by Source'!F295/10,0))</f>
        <v>6625</v>
      </c>
      <c r="G295" s="221">
        <f>IF(Notes!$B$2="June",ROUND('Budget by Source'!G295/10,0)+V295,ROUND('Budget by Source'!G295/10,0))</f>
        <v>37003</v>
      </c>
      <c r="H295" s="221">
        <f>INDEX('AEA Funding and Payments'!$A$8:$T$332,MATCH('Payment by Source'!$A295,'AEA Funding and Payments'!$A$8:$A$332,0),MATCH(H$5,'AEA Funding and Payments'!$A$4:$T$4,0))</f>
        <v>20452</v>
      </c>
      <c r="I295" s="221">
        <f>IF(Notes!$B$2="June",INDEX('AEA Funding and Payments'!$A$8:$AI$332,MATCH('Payment by Source'!$A295,'AEA Funding and Payments'!$A$8:$A$332,0),34),
ROUND(INDEX('AEA Funding and Payments'!$A$8:$T$332,MATCH('Payment by Source'!$A295,'AEA Funding and Payments'!$A$8:$A$332,0),MATCH(I$5,'AEA Funding and Payments'!$A$4:$T$4,0))/10,0))</f>
        <v>3127</v>
      </c>
      <c r="J295" s="221">
        <f t="shared" si="17"/>
        <v>510523</v>
      </c>
      <c r="K295" s="221">
        <f>INDEX(Data[],MATCH($A295,Data[Dist],0),MATCH(K$5,Data[#Headers],0))</f>
        <v>703391</v>
      </c>
      <c r="M295" s="59">
        <f>INDEX('Payment Total'!$A$7:$H$331,MATCH('Payment by Source'!$A295,'Payment Total'!$A$7:$A$331,0),6)-K295</f>
        <v>0</v>
      </c>
      <c r="O295" s="263">
        <f t="shared" si="20"/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5119697</v>
      </c>
      <c r="X295" s="136">
        <f t="shared" si="18"/>
        <v>511970</v>
      </c>
      <c r="Y295" s="136">
        <f t="shared" si="19"/>
        <v>5119700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18297</v>
      </c>
      <c r="D296" s="221">
        <f>IF(Notes!$B$2="June",ROUND('Budget by Source'!D296/10,0)+S296,ROUND('Budget by Source'!D296/10,0))</f>
        <v>79997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7126</v>
      </c>
      <c r="G296" s="221">
        <f>IF(Notes!$B$2="June",ROUND('Budget by Source'!G296/10,0)+V296,ROUND('Budget by Source'!G296/10,0))</f>
        <v>37318</v>
      </c>
      <c r="H296" s="221">
        <f>INDEX('AEA Funding and Payments'!$A$8:$T$332,MATCH('Payment by Source'!$A296,'AEA Funding and Payments'!$A$8:$A$332,0),MATCH(H$5,'AEA Funding and Payments'!$A$4:$T$4,0))</f>
        <v>19302</v>
      </c>
      <c r="I296" s="221">
        <f>IF(Notes!$B$2="June",INDEX('AEA Funding and Payments'!$A$8:$AI$332,MATCH('Payment by Source'!$A296,'AEA Funding and Payments'!$A$8:$A$332,0),34),
ROUND(INDEX('AEA Funding and Payments'!$A$8:$T$332,MATCH('Payment by Source'!$A296,'AEA Funding and Payments'!$A$8:$A$332,0),MATCH(I$5,'AEA Funding and Payments'!$A$4:$T$4,0))/10,0))</f>
        <v>2881</v>
      </c>
      <c r="J296" s="221">
        <f t="shared" si="17"/>
        <v>560734</v>
      </c>
      <c r="K296" s="221">
        <f>INDEX(Data[],MATCH($A296,Data[Dist],0),MATCH(K$5,Data[#Headers],0))</f>
        <v>733187</v>
      </c>
      <c r="M296" s="59">
        <f>INDEX('Payment Total'!$A$7:$H$331,MATCH('Payment by Source'!$A296,'Payment Total'!$A$7:$A$331,0),6)-K296</f>
        <v>0</v>
      </c>
      <c r="O296" s="263">
        <f t="shared" si="20"/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5622021</v>
      </c>
      <c r="X296" s="136">
        <f t="shared" si="18"/>
        <v>562202</v>
      </c>
      <c r="Y296" s="136">
        <f t="shared" si="19"/>
        <v>5622020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5967</v>
      </c>
      <c r="D297" s="221">
        <f>IF(Notes!$B$2="June",ROUND('Budget by Source'!D297/10,0)+S297,ROUND('Budget by Source'!D297/10,0))</f>
        <v>35453</v>
      </c>
      <c r="E297" s="221">
        <f>IF(Notes!$B$2="June",ROUND('Budget by Source'!E297/10,0)+T297,ROUND('Budget by Source'!E297/10,0))</f>
        <v>2368</v>
      </c>
      <c r="F297" s="221">
        <f>IF(Notes!$B$2="June",ROUND('Budget by Source'!F297/10,0)+U297,ROUND('Budget by Source'!F297/10,0))</f>
        <v>2094</v>
      </c>
      <c r="G297" s="221">
        <f>IF(Notes!$B$2="June",ROUND('Budget by Source'!G297/10,0)+V297,ROUND('Budget by Source'!G297/10,0))</f>
        <v>10655</v>
      </c>
      <c r="H297" s="221">
        <f>INDEX('AEA Funding and Payments'!$A$8:$T$332,MATCH('Payment by Source'!$A297,'AEA Funding and Payments'!$A$8:$A$332,0),MATCH(H$5,'AEA Funding and Payments'!$A$4:$T$4,0))</f>
        <v>5730</v>
      </c>
      <c r="I297" s="221">
        <f>IF(Notes!$B$2="June",INDEX('AEA Funding and Payments'!$A$8:$AI$332,MATCH('Payment by Source'!$A297,'AEA Funding and Payments'!$A$8:$A$332,0),34),
ROUND(INDEX('AEA Funding and Payments'!$A$8:$T$332,MATCH('Payment by Source'!$A297,'AEA Funding and Payments'!$A$8:$A$332,0),MATCH(I$5,'AEA Funding and Payments'!$A$4:$T$4,0))/10,0))</f>
        <v>987</v>
      </c>
      <c r="J297" s="221">
        <f t="shared" si="17"/>
        <v>144989</v>
      </c>
      <c r="K297" s="221">
        <f>INDEX(Data[],MATCH($A297,Data[Dist],0),MATCH(K$5,Data[#Headers],0))</f>
        <v>208243</v>
      </c>
      <c r="M297" s="59">
        <f>INDEX('Payment Total'!$A$7:$H$331,MATCH('Payment by Source'!$A297,'Payment Total'!$A$7:$A$331,0),6)-K297</f>
        <v>0</v>
      </c>
      <c r="O297" s="263">
        <f t="shared" si="20"/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1454019</v>
      </c>
      <c r="X297" s="136">
        <f t="shared" si="18"/>
        <v>145402</v>
      </c>
      <c r="Y297" s="136">
        <f t="shared" si="19"/>
        <v>1454020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21480</v>
      </c>
      <c r="D298" s="221">
        <f>IF(Notes!$B$2="June",ROUND('Budget by Source'!D298/10,0)+S298,ROUND('Budget by Source'!D298/10,0))</f>
        <v>143943</v>
      </c>
      <c r="E298" s="221">
        <f>IF(Notes!$B$2="June",ROUND('Budget by Source'!E298/10,0)+T298,ROUND('Budget by Source'!E298/10,0))</f>
        <v>12763</v>
      </c>
      <c r="F298" s="221">
        <f>IF(Notes!$B$2="June",ROUND('Budget by Source'!F298/10,0)+U298,ROUND('Budget by Source'!F298/10,0))</f>
        <v>12974</v>
      </c>
      <c r="G298" s="221">
        <f>IF(Notes!$B$2="June",ROUND('Budget by Source'!G298/10,0)+V298,ROUND('Budget by Source'!G298/10,0))</f>
        <v>62839</v>
      </c>
      <c r="H298" s="221">
        <f>INDEX('AEA Funding and Payments'!$A$8:$T$332,MATCH('Payment by Source'!$A298,'AEA Funding and Payments'!$A$8:$A$332,0),MATCH(H$5,'AEA Funding and Payments'!$A$4:$T$4,0))</f>
        <v>34597</v>
      </c>
      <c r="I298" s="221">
        <f>IF(Notes!$B$2="June",INDEX('AEA Funding and Payments'!$A$8:$AI$332,MATCH('Payment by Source'!$A298,'AEA Funding and Payments'!$A$8:$A$332,0),34),
ROUND(INDEX('AEA Funding and Payments'!$A$8:$T$332,MATCH('Payment by Source'!$A298,'AEA Funding and Payments'!$A$8:$A$332,0),MATCH(I$5,'AEA Funding and Payments'!$A$4:$T$4,0))/10,0))</f>
        <v>5320</v>
      </c>
      <c r="J298" s="221">
        <f t="shared" si="17"/>
        <v>1016682</v>
      </c>
      <c r="K298" s="221">
        <f>INDEX(Data[],MATCH($A298,Data[Dist],0),MATCH(K$5,Data[#Headers],0))</f>
        <v>1310598</v>
      </c>
      <c r="M298" s="59">
        <f>INDEX('Payment Total'!$A$7:$H$331,MATCH('Payment by Source'!$A298,'Payment Total'!$A$7:$A$331,0),6)-K298</f>
        <v>0</v>
      </c>
      <c r="O298" s="263">
        <f t="shared" si="20"/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10191416</v>
      </c>
      <c r="X298" s="136">
        <f t="shared" si="18"/>
        <v>1019142</v>
      </c>
      <c r="Y298" s="136">
        <f t="shared" si="19"/>
        <v>10191420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13525</v>
      </c>
      <c r="D299" s="221">
        <f>IF(Notes!$B$2="June",ROUND('Budget by Source'!D299/10,0)+S299,ROUND('Budget by Source'!D299/10,0))</f>
        <v>82750</v>
      </c>
      <c r="E299" s="221">
        <f>IF(Notes!$B$2="June",ROUND('Budget by Source'!E299/10,0)+T299,ROUND('Budget by Source'!E299/10,0))</f>
        <v>4027</v>
      </c>
      <c r="F299" s="221">
        <f>IF(Notes!$B$2="June",ROUND('Budget by Source'!F299/10,0)+U299,ROUND('Budget by Source'!F299/10,0))</f>
        <v>3958</v>
      </c>
      <c r="G299" s="221">
        <f>IF(Notes!$B$2="June",ROUND('Budget by Source'!G299/10,0)+V299,ROUND('Budget by Source'!G299/10,0))</f>
        <v>18680</v>
      </c>
      <c r="H299" s="221">
        <f>INDEX('AEA Funding and Payments'!$A$8:$T$332,MATCH('Payment by Source'!$A299,'AEA Funding and Payments'!$A$8:$A$332,0),MATCH(H$5,'AEA Funding and Payments'!$A$4:$T$4,0))</f>
        <v>10474</v>
      </c>
      <c r="I299" s="221">
        <f>IF(Notes!$B$2="June",INDEX('AEA Funding and Payments'!$A$8:$AI$332,MATCH('Payment by Source'!$A299,'AEA Funding and Payments'!$A$8:$A$332,0),34),
ROUND(INDEX('AEA Funding and Payments'!$A$8:$T$332,MATCH('Payment by Source'!$A299,'AEA Funding and Payments'!$A$8:$A$332,0),MATCH(I$5,'AEA Funding and Payments'!$A$4:$T$4,0))/10,0))</f>
        <v>1602</v>
      </c>
      <c r="J299" s="221">
        <f t="shared" si="17"/>
        <v>326138</v>
      </c>
      <c r="K299" s="221">
        <f>INDEX(Data[],MATCH($A299,Data[Dist],0),MATCH(K$5,Data[#Headers],0))</f>
        <v>461154</v>
      </c>
      <c r="M299" s="59">
        <f>INDEX('Payment Total'!$A$7:$H$331,MATCH('Payment by Source'!$A299,'Payment Total'!$A$7:$A$331,0),6)-K299</f>
        <v>0</v>
      </c>
      <c r="O299" s="263">
        <f t="shared" si="20"/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3268706</v>
      </c>
      <c r="X299" s="136">
        <f t="shared" si="18"/>
        <v>326871</v>
      </c>
      <c r="Y299" s="136">
        <f t="shared" si="19"/>
        <v>3268710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15907</v>
      </c>
      <c r="D300" s="221">
        <f>IF(Notes!$B$2="June",ROUND('Budget by Source'!D300/10,0)+S300,ROUND('Budget by Source'!D300/10,0))</f>
        <v>90374</v>
      </c>
      <c r="E300" s="221">
        <f>IF(Notes!$B$2="June",ROUND('Budget by Source'!E300/10,0)+T300,ROUND('Budget by Source'!E300/10,0))</f>
        <v>7101</v>
      </c>
      <c r="F300" s="221">
        <f>IF(Notes!$B$2="June",ROUND('Budget by Source'!F300/10,0)+U300,ROUND('Budget by Source'!F300/10,0))</f>
        <v>6543</v>
      </c>
      <c r="G300" s="221">
        <f>IF(Notes!$B$2="June",ROUND('Budget by Source'!G300/10,0)+V300,ROUND('Budget by Source'!G300/10,0))</f>
        <v>32635</v>
      </c>
      <c r="H300" s="221">
        <f>INDEX('AEA Funding and Payments'!$A$8:$T$332,MATCH('Payment by Source'!$A300,'AEA Funding and Payments'!$A$8:$A$332,0),MATCH(H$5,'AEA Funding and Payments'!$A$4:$T$4,0))</f>
        <v>16795</v>
      </c>
      <c r="I300" s="221">
        <f>IF(Notes!$B$2="June",INDEX('AEA Funding and Payments'!$A$8:$AI$332,MATCH('Payment by Source'!$A300,'AEA Funding and Payments'!$A$8:$A$332,0),34),
ROUND(INDEX('AEA Funding and Payments'!$A$8:$T$332,MATCH('Payment by Source'!$A300,'AEA Funding and Payments'!$A$8:$A$332,0),MATCH(I$5,'AEA Funding and Payments'!$A$4:$T$4,0))/10,0))</f>
        <v>2783</v>
      </c>
      <c r="J300" s="221">
        <f t="shared" si="17"/>
        <v>385374</v>
      </c>
      <c r="K300" s="221">
        <f>INDEX(Data[],MATCH($A300,Data[Dist],0),MATCH(K$5,Data[#Headers],0))</f>
        <v>557512</v>
      </c>
      <c r="M300" s="59">
        <f>INDEX('Payment Total'!$A$7:$H$331,MATCH('Payment by Source'!$A300,'Payment Total'!$A$7:$A$331,0),6)-K300</f>
        <v>0</v>
      </c>
      <c r="O300" s="263">
        <f t="shared" si="20"/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3865895</v>
      </c>
      <c r="X300" s="136">
        <f t="shared" si="18"/>
        <v>386590</v>
      </c>
      <c r="Y300" s="136">
        <f t="shared" si="19"/>
        <v>3865900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58749</v>
      </c>
      <c r="E301" s="221">
        <f>IF(Notes!$B$2="June",ROUND('Budget by Source'!E301/10,0)+T301,ROUND('Budget by Source'!E301/10,0))</f>
        <v>4681</v>
      </c>
      <c r="F301" s="221">
        <f>IF(Notes!$B$2="June",ROUND('Budget by Source'!F301/10,0)+U301,ROUND('Budget by Source'!F301/10,0))</f>
        <v>3954</v>
      </c>
      <c r="G301" s="221">
        <f>IF(Notes!$B$2="June",ROUND('Budget by Source'!G301/10,0)+V301,ROUND('Budget by Source'!G301/10,0))</f>
        <v>20164</v>
      </c>
      <c r="H301" s="221">
        <f>INDEX('AEA Funding and Payments'!$A$8:$T$332,MATCH('Payment by Source'!$A301,'AEA Funding and Payments'!$A$8:$A$332,0),MATCH(H$5,'AEA Funding and Payments'!$A$4:$T$4,0))</f>
        <v>11099</v>
      </c>
      <c r="I301" s="221">
        <f>IF(Notes!$B$2="June",INDEX('AEA Funding and Payments'!$A$8:$AI$332,MATCH('Payment by Source'!$A301,'AEA Funding and Payments'!$A$8:$A$332,0),34),
ROUND(INDEX('AEA Funding and Payments'!$A$8:$T$332,MATCH('Payment by Source'!$A301,'AEA Funding and Payments'!$A$8:$A$332,0),MATCH(I$5,'AEA Funding and Payments'!$A$4:$T$4,0))/10,0))</f>
        <v>1932</v>
      </c>
      <c r="J301" s="221">
        <f t="shared" si="17"/>
        <v>317108</v>
      </c>
      <c r="K301" s="221">
        <f>INDEX(Data[],MATCH($A301,Data[Dist],0),MATCH(K$5,Data[#Headers],0))</f>
        <v>428426</v>
      </c>
      <c r="M301" s="59">
        <f>INDEX('Payment Total'!$A$7:$H$331,MATCH('Payment by Source'!$A301,'Payment Total'!$A$7:$A$331,0),6)-K301</f>
        <v>0</v>
      </c>
      <c r="O301" s="263">
        <f t="shared" si="20"/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3178928</v>
      </c>
      <c r="X301" s="136">
        <f t="shared" si="18"/>
        <v>317893</v>
      </c>
      <c r="Y301" s="136">
        <f t="shared" si="19"/>
        <v>3178930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17902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5240</v>
      </c>
      <c r="F302" s="221">
        <f>IF(Notes!$B$2="June",ROUND('Budget by Source'!F302/10,0)+U302,ROUND('Budget by Source'!F302/10,0))</f>
        <v>4959</v>
      </c>
      <c r="G302" s="221">
        <f>IF(Notes!$B$2="June",ROUND('Budget by Source'!G302/10,0)+V302,ROUND('Budget by Source'!G302/10,0))</f>
        <v>24811</v>
      </c>
      <c r="H302" s="221">
        <f>INDEX('AEA Funding and Payments'!$A$8:$T$332,MATCH('Payment by Source'!$A302,'AEA Funding and Payments'!$A$8:$A$332,0),MATCH(H$5,'AEA Funding and Payments'!$A$4:$T$4,0))</f>
        <v>12521</v>
      </c>
      <c r="I302" s="221">
        <f>IF(Notes!$B$2="June",INDEX('AEA Funding and Payments'!$A$8:$AI$332,MATCH('Payment by Source'!$A302,'AEA Funding and Payments'!$A$8:$A$332,0),34),
ROUND(INDEX('AEA Funding and Payments'!$A$8:$T$332,MATCH('Payment by Source'!$A302,'AEA Funding and Payments'!$A$8:$A$332,0),MATCH(I$5,'AEA Funding and Payments'!$A$4:$T$4,0))/10,0))</f>
        <v>2097</v>
      </c>
      <c r="J302" s="221">
        <f t="shared" si="17"/>
        <v>370078</v>
      </c>
      <c r="K302" s="221">
        <f>INDEX(Data[],MATCH($A302,Data[Dist],0),MATCH(K$5,Data[#Headers],0))</f>
        <v>500471</v>
      </c>
      <c r="M302" s="59">
        <f>INDEX('Payment Total'!$A$7:$H$331,MATCH('Payment by Source'!$A302,'Payment Total'!$A$7:$A$331,0),6)-K302</f>
        <v>0</v>
      </c>
      <c r="O302" s="263">
        <f t="shared" si="20"/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3709679</v>
      </c>
      <c r="X302" s="136">
        <f t="shared" si="18"/>
        <v>370968</v>
      </c>
      <c r="Y302" s="136">
        <f t="shared" si="19"/>
        <v>3709680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25451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14381</v>
      </c>
      <c r="F303" s="221">
        <f>IF(Notes!$B$2="June",ROUND('Budget by Source'!F303/10,0)+U303,ROUND('Budget by Source'!F303/10,0))</f>
        <v>12988</v>
      </c>
      <c r="G303" s="221">
        <f>IF(Notes!$B$2="June",ROUND('Budget by Source'!G303/10,0)+V303,ROUND('Budget by Source'!G303/10,0))</f>
        <v>65539</v>
      </c>
      <c r="H303" s="221">
        <f>INDEX('AEA Funding and Payments'!$A$8:$T$332,MATCH('Payment by Source'!$A303,'AEA Funding and Payments'!$A$8:$A$332,0),MATCH(H$5,'AEA Funding and Payments'!$A$4:$T$4,0))</f>
        <v>34249</v>
      </c>
      <c r="I303" s="221">
        <f>IF(Notes!$B$2="June",INDEX('AEA Funding and Payments'!$A$8:$AI$332,MATCH('Payment by Source'!$A303,'AEA Funding and Payments'!$A$8:$A$332,0),34),
ROUND(INDEX('AEA Funding and Payments'!$A$8:$T$332,MATCH('Payment by Source'!$A303,'AEA Funding and Payments'!$A$8:$A$332,0),MATCH(I$5,'AEA Funding and Payments'!$A$4:$T$4,0))/10,0))</f>
        <v>5330</v>
      </c>
      <c r="J303" s="221">
        <f>K303-SUM(C303:I303)</f>
        <v>1078436</v>
      </c>
      <c r="K303" s="221">
        <f>INDEX(Data[],MATCH($A303,Data[Dist],0),MATCH(K$5,Data[#Headers],0))</f>
        <v>1433312</v>
      </c>
      <c r="M303" s="59">
        <f>INDEX('Payment Total'!$A$7:$H$331,MATCH('Payment by Source'!$A303,'Payment Total'!$A$7:$A$331,0),6)-K303</f>
        <v>0</v>
      </c>
      <c r="O303" s="263">
        <f t="shared" si="20"/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10808773</v>
      </c>
      <c r="X303" s="136">
        <f t="shared" si="18"/>
        <v>1080877</v>
      </c>
      <c r="Y303" s="136">
        <f t="shared" si="19"/>
        <v>10808770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184553</v>
      </c>
      <c r="D304" s="221">
        <f>IF(Notes!$B$2="June",ROUND('Budget by Source'!D304/10,0)+S304,ROUND('Budget by Source'!D304/10,0))</f>
        <v>858946</v>
      </c>
      <c r="E304" s="221">
        <f>IF(Notes!$B$2="June",ROUND('Budget by Source'!E304/10,0)+T304,ROUND('Budget by Source'!E304/10,0))</f>
        <v>108499</v>
      </c>
      <c r="F304" s="221">
        <f>IF(Notes!$B$2="June",ROUND('Budget by Source'!F304/10,0)+U304,ROUND('Budget by Source'!F304/10,0))</f>
        <v>87000</v>
      </c>
      <c r="G304" s="221">
        <f>IF(Notes!$B$2="June",ROUND('Budget by Source'!G304/10,0)+V304,ROUND('Budget by Source'!G304/10,0))</f>
        <v>453388</v>
      </c>
      <c r="H304" s="221">
        <f>INDEX('AEA Funding and Payments'!$A$8:$T$332,MATCH('Payment by Source'!$A304,'AEA Funding and Payments'!$A$8:$A$332,0),MATCH(H$5,'AEA Funding and Payments'!$A$4:$T$4,0))</f>
        <v>247560</v>
      </c>
      <c r="I304" s="221">
        <f>IF(Notes!$B$2="June",INDEX('AEA Funding and Payments'!$A$8:$AI$332,MATCH('Payment by Source'!$A304,'AEA Funding and Payments'!$A$8:$A$332,0),34),
ROUND(INDEX('AEA Funding and Payments'!$A$8:$T$332,MATCH('Payment by Source'!$A304,'AEA Funding and Payments'!$A$8:$A$332,0),MATCH(I$5,'AEA Funding and Payments'!$A$4:$T$4,0))/10,0))</f>
        <v>38714</v>
      </c>
      <c r="J304" s="221">
        <f t="shared" si="17"/>
        <v>8724383</v>
      </c>
      <c r="K304" s="221">
        <f>INDEX(Data[],MATCH($A304,Data[Dist],0),MATCH(K$5,Data[#Headers],0))</f>
        <v>10703043</v>
      </c>
      <c r="M304" s="59">
        <f>INDEX('Payment Total'!$A$7:$H$331,MATCH('Payment by Source'!$A304,'Payment Total'!$A$7:$A$331,0),6)-K304</f>
        <v>0</v>
      </c>
      <c r="O304" s="263">
        <f t="shared" si="20"/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87408234</v>
      </c>
      <c r="X304" s="136">
        <f t="shared" si="18"/>
        <v>8740823</v>
      </c>
      <c r="Y304" s="136">
        <f t="shared" si="19"/>
        <v>87408230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106604</v>
      </c>
      <c r="D305" s="221">
        <f>IF(Notes!$B$2="June",ROUND('Budget by Source'!D305/10,0)+S305,ROUND('Budget by Source'!D305/10,0))</f>
        <v>1040942</v>
      </c>
      <c r="E305" s="221">
        <f>IF(Notes!$B$2="June",ROUND('Budget by Source'!E305/10,0)+T305,ROUND('Budget by Source'!E305/10,0))</f>
        <v>117649</v>
      </c>
      <c r="F305" s="221">
        <f>IF(Notes!$B$2="June",ROUND('Budget by Source'!F305/10,0)+U305,ROUND('Budget by Source'!F305/10,0))</f>
        <v>94454</v>
      </c>
      <c r="G305" s="221">
        <f>IF(Notes!$B$2="June",ROUND('Budget by Source'!G305/10,0)+V305,ROUND('Budget by Source'!G305/10,0))</f>
        <v>562243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IF(Notes!$B$2="June",INDEX('AEA Funding and Payments'!$A$8:$AI$332,MATCH('Payment by Source'!$A305,'AEA Funding and Payments'!$A$8:$A$332,0),34),
ROUND(INDEX('AEA Funding and Payments'!$A$8:$T$332,MATCH('Payment by Source'!$A305,'AEA Funding and Payments'!$A$8:$A$332,0),MATCH(I$5,'AEA Funding and Payments'!$A$4:$T$4,0))/10,0))</f>
        <v>44169</v>
      </c>
      <c r="J305" s="221">
        <f t="shared" si="17"/>
        <v>7921020</v>
      </c>
      <c r="K305" s="221">
        <f>INDEX(Data[],MATCH($A305,Data[Dist],0),MATCH(K$5,Data[#Headers],0))</f>
        <v>10182656</v>
      </c>
      <c r="M305" s="59">
        <f>INDEX('Payment Total'!$A$7:$H$331,MATCH('Payment by Source'!$A305,'Payment Total'!$A$7:$A$331,0),6)-K305</f>
        <v>0</v>
      </c>
      <c r="O305" s="263">
        <f t="shared" si="20"/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79423288</v>
      </c>
      <c r="X305" s="136">
        <f t="shared" si="18"/>
        <v>7942329</v>
      </c>
      <c r="Y305" s="136">
        <f t="shared" si="19"/>
        <v>79423290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35005</v>
      </c>
      <c r="D306" s="221">
        <f>IF(Notes!$B$2="June",ROUND('Budget by Source'!D306/10,0)+S306,ROUND('Budget by Source'!D306/10,0))</f>
        <v>177683</v>
      </c>
      <c r="E306" s="221">
        <f>IF(Notes!$B$2="June",ROUND('Budget by Source'!E306/10,0)+T306,ROUND('Budget by Source'!E306/10,0))</f>
        <v>16420</v>
      </c>
      <c r="F306" s="221">
        <f>IF(Notes!$B$2="June",ROUND('Budget by Source'!F306/10,0)+U306,ROUND('Budget by Source'!F306/10,0))</f>
        <v>18572</v>
      </c>
      <c r="G306" s="221">
        <f>IF(Notes!$B$2="June",ROUND('Budget by Source'!G306/10,0)+V306,ROUND('Budget by Source'!G306/10,0))</f>
        <v>88526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IF(Notes!$B$2="June",INDEX('AEA Funding and Payments'!$A$8:$AI$332,MATCH('Payment by Source'!$A306,'AEA Funding and Payments'!$A$8:$A$332,0),34),
ROUND(INDEX('AEA Funding and Payments'!$A$8:$T$332,MATCH('Payment by Source'!$A306,'AEA Funding and Payments'!$A$8:$A$332,0),MATCH(I$5,'AEA Funding and Payments'!$A$4:$T$4,0))/10,0))</f>
        <v>7145</v>
      </c>
      <c r="J306" s="221">
        <f t="shared" si="17"/>
        <v>1303930</v>
      </c>
      <c r="K306" s="221">
        <f>INDEX(Data[],MATCH($A306,Data[Dist],0),MATCH(K$5,Data[#Headers],0))</f>
        <v>1692966</v>
      </c>
      <c r="M306" s="59">
        <f>INDEX('Payment Total'!$A$7:$H$331,MATCH('Payment by Source'!$A306,'Payment Total'!$A$7:$A$331,0),6)-K306</f>
        <v>0</v>
      </c>
      <c r="O306" s="263">
        <f t="shared" si="20"/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13072281</v>
      </c>
      <c r="X306" s="136">
        <f t="shared" si="18"/>
        <v>1307228</v>
      </c>
      <c r="Y306" s="136">
        <f t="shared" si="19"/>
        <v>13072280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9939</v>
      </c>
      <c r="D307" s="221">
        <f>IF(Notes!$B$2="June",ROUND('Budget by Source'!D307/10,0)+S307,ROUND('Budget by Source'!D307/10,0))</f>
        <v>75875</v>
      </c>
      <c r="E307" s="221">
        <f>IF(Notes!$B$2="June",ROUND('Budget by Source'!E307/10,0)+T307,ROUND('Budget by Source'!E307/10,0))</f>
        <v>4994</v>
      </c>
      <c r="F307" s="221">
        <f>IF(Notes!$B$2="June",ROUND('Budget by Source'!F307/10,0)+U307,ROUND('Budget by Source'!F307/10,0))</f>
        <v>4928</v>
      </c>
      <c r="G307" s="221">
        <f>IF(Notes!$B$2="June",ROUND('Budget by Source'!G307/10,0)+V307,ROUND('Budget by Source'!G307/10,0))</f>
        <v>21565</v>
      </c>
      <c r="H307" s="221">
        <f>INDEX('AEA Funding and Payments'!$A$8:$T$332,MATCH('Payment by Source'!$A307,'AEA Funding and Payments'!$A$8:$A$332,0),MATCH(H$5,'AEA Funding and Payments'!$A$4:$T$4,0))</f>
        <v>11820</v>
      </c>
      <c r="I307" s="221">
        <f>IF(Notes!$B$2="June",INDEX('AEA Funding and Payments'!$A$8:$AI$332,MATCH('Payment by Source'!$A307,'AEA Funding and Payments'!$A$8:$A$332,0),34),
ROUND(INDEX('AEA Funding and Payments'!$A$8:$T$332,MATCH('Payment by Source'!$A307,'AEA Funding and Payments'!$A$8:$A$332,0),MATCH(I$5,'AEA Funding and Payments'!$A$4:$T$4,0))/10,0))</f>
        <v>1885</v>
      </c>
      <c r="J307" s="221">
        <f t="shared" si="17"/>
        <v>291845</v>
      </c>
      <c r="K307" s="221">
        <f>INDEX(Data[],MATCH($A307,Data[Dist],0),MATCH(K$5,Data[#Headers],0))</f>
        <v>422851</v>
      </c>
      <c r="M307" s="59">
        <f>INDEX('Payment Total'!$A$7:$H$331,MATCH('Payment by Source'!$A307,'Payment Total'!$A$7:$A$331,0),6)-K307</f>
        <v>0</v>
      </c>
      <c r="O307" s="263">
        <f t="shared" si="20"/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2926664</v>
      </c>
      <c r="X307" s="136">
        <f t="shared" si="18"/>
        <v>292666</v>
      </c>
      <c r="Y307" s="136">
        <f t="shared" si="19"/>
        <v>2926660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48124</v>
      </c>
      <c r="D308" s="221">
        <f>IF(Notes!$B$2="June",ROUND('Budget by Source'!D308/10,0)+S308,ROUND('Budget by Source'!D308/10,0))</f>
        <v>156306</v>
      </c>
      <c r="E308" s="221">
        <f>IF(Notes!$B$2="June",ROUND('Budget by Source'!E308/10,0)+T308,ROUND('Budget by Source'!E308/10,0))</f>
        <v>15564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69902</v>
      </c>
      <c r="H308" s="221">
        <f>INDEX('AEA Funding and Payments'!$A$8:$T$332,MATCH('Payment by Source'!$A308,'AEA Funding and Payments'!$A$8:$A$332,0),MATCH(H$5,'AEA Funding and Payments'!$A$4:$T$4,0))</f>
        <v>36062</v>
      </c>
      <c r="I308" s="221">
        <f>IF(Notes!$B$2="June",INDEX('AEA Funding and Payments'!$A$8:$AI$332,MATCH('Payment by Source'!$A308,'AEA Funding and Payments'!$A$8:$A$332,0),34),
ROUND(INDEX('AEA Funding and Payments'!$A$8:$T$332,MATCH('Payment by Source'!$A308,'AEA Funding and Payments'!$A$8:$A$332,0),MATCH(I$5,'AEA Funding and Payments'!$A$4:$T$4,0))/10,0))</f>
        <v>5790</v>
      </c>
      <c r="J308" s="221">
        <f t="shared" si="17"/>
        <v>1038440</v>
      </c>
      <c r="K308" s="221">
        <f>INDEX(Data[],MATCH($A308,Data[Dist],0),MATCH(K$5,Data[#Headers],0))</f>
        <v>1384268</v>
      </c>
      <c r="M308" s="59">
        <f>INDEX('Payment Total'!$A$7:$H$331,MATCH('Payment by Source'!$A308,'Payment Total'!$A$7:$A$331,0),6)-K308</f>
        <v>0</v>
      </c>
      <c r="O308" s="263">
        <f t="shared" si="20"/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10411025</v>
      </c>
      <c r="X308" s="136">
        <f t="shared" si="18"/>
        <v>1041103</v>
      </c>
      <c r="Y308" s="136">
        <f t="shared" si="19"/>
        <v>10411030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9149</v>
      </c>
      <c r="D309" s="221">
        <f>IF(Notes!$B$2="June",ROUND('Budget by Source'!D309/10,0)+S309,ROUND('Budget by Source'!D309/10,0))</f>
        <v>54269</v>
      </c>
      <c r="E309" s="221">
        <f>IF(Notes!$B$2="June",ROUND('Budget by Source'!E309/10,0)+T309,ROUND('Budget by Source'!E309/10,0))</f>
        <v>2698</v>
      </c>
      <c r="F309" s="221">
        <f>IF(Notes!$B$2="June",ROUND('Budget by Source'!F309/10,0)+U309,ROUND('Budget by Source'!F309/10,0))</f>
        <v>2963</v>
      </c>
      <c r="G309" s="221">
        <f>IF(Notes!$B$2="June",ROUND('Budget by Source'!G309/10,0)+V309,ROUND('Budget by Source'!G309/10,0))</f>
        <v>13957</v>
      </c>
      <c r="H309" s="221">
        <f>INDEX('AEA Funding and Payments'!$A$8:$T$332,MATCH('Payment by Source'!$A309,'AEA Funding and Payments'!$A$8:$A$332,0),MATCH(H$5,'AEA Funding and Payments'!$A$4:$T$4,0))</f>
        <v>6488</v>
      </c>
      <c r="I309" s="221">
        <f>IF(Notes!$B$2="June",INDEX('AEA Funding and Payments'!$A$8:$AI$332,MATCH('Payment by Source'!$A309,'AEA Funding and Payments'!$A$8:$A$332,0),34),
ROUND(INDEX('AEA Funding and Payments'!$A$8:$T$332,MATCH('Payment by Source'!$A309,'AEA Funding and Payments'!$A$8:$A$332,0),MATCH(I$5,'AEA Funding and Payments'!$A$4:$T$4,0))/10,0))</f>
        <v>1091</v>
      </c>
      <c r="J309" s="221">
        <f t="shared" si="17"/>
        <v>122004</v>
      </c>
      <c r="K309" s="221">
        <f>INDEX(Data[],MATCH($A309,Data[Dist],0),MATCH(K$5,Data[#Headers],0))</f>
        <v>212619</v>
      </c>
      <c r="M309" s="59">
        <f>INDEX('Payment Total'!$A$7:$H$331,MATCH('Payment by Source'!$A309,'Payment Total'!$A$7:$A$331,0),6)-K309</f>
        <v>0</v>
      </c>
      <c r="O309" s="263">
        <f t="shared" si="20"/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1256272</v>
      </c>
      <c r="X309" s="136">
        <f t="shared" si="18"/>
        <v>125627</v>
      </c>
      <c r="Y309" s="136">
        <f t="shared" si="19"/>
        <v>1256270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19492</v>
      </c>
      <c r="D310" s="221">
        <f>IF(Notes!$B$2="June",ROUND('Budget by Source'!D310/10,0)+S310,ROUND('Budget by Source'!D310/10,0))</f>
        <v>76769</v>
      </c>
      <c r="E310" s="221">
        <f>IF(Notes!$B$2="June",ROUND('Budget by Source'!E310/10,0)+T310,ROUND('Budget by Source'!E310/10,0))</f>
        <v>6076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31167</v>
      </c>
      <c r="H310" s="221">
        <f>INDEX('AEA Funding and Payments'!$A$8:$T$332,MATCH('Payment by Source'!$A310,'AEA Funding and Payments'!$A$8:$A$332,0),MATCH(H$5,'AEA Funding and Payments'!$A$4:$T$4,0))</f>
        <v>16918</v>
      </c>
      <c r="I310" s="221">
        <f>IF(Notes!$B$2="June",INDEX('AEA Funding and Payments'!$A$8:$AI$332,MATCH('Payment by Source'!$A310,'AEA Funding and Payments'!$A$8:$A$332,0),34),
ROUND(INDEX('AEA Funding and Payments'!$A$8:$T$332,MATCH('Payment by Source'!$A310,'AEA Funding and Payments'!$A$8:$A$332,0),MATCH(I$5,'AEA Funding and Payments'!$A$4:$T$4,0))/10,0))</f>
        <v>2602</v>
      </c>
      <c r="J310" s="221">
        <f t="shared" si="17"/>
        <v>406680</v>
      </c>
      <c r="K310" s="221">
        <f>INDEX(Data[],MATCH($A310,Data[Dist],0),MATCH(K$5,Data[#Headers],0))</f>
        <v>565596</v>
      </c>
      <c r="M310" s="59">
        <f>INDEX('Payment Total'!$A$7:$H$331,MATCH('Payment by Source'!$A310,'Payment Total'!$A$7:$A$331,0),6)-K310</f>
        <v>0</v>
      </c>
      <c r="O310" s="263">
        <f t="shared" si="20"/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4078870</v>
      </c>
      <c r="X310" s="136">
        <f t="shared" si="18"/>
        <v>407887</v>
      </c>
      <c r="Y310" s="136">
        <f t="shared" si="19"/>
        <v>4078870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56064</v>
      </c>
      <c r="E311" s="221">
        <f>IF(Notes!$B$2="June",ROUND('Budget by Source'!E311/10,0)+T311,ROUND('Budget by Source'!E311/10,0))</f>
        <v>5099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IF(Notes!$B$2="June",INDEX('AEA Funding and Payments'!$A$8:$AI$332,MATCH('Payment by Source'!$A311,'AEA Funding and Payments'!$A$8:$A$332,0),34),
ROUND(INDEX('AEA Funding and Payments'!$A$8:$T$332,MATCH('Payment by Source'!$A311,'AEA Funding and Payments'!$A$8:$A$332,0),MATCH(I$5,'AEA Funding and Payments'!$A$4:$T$4,0))/10,0))</f>
        <v>1331</v>
      </c>
      <c r="J311" s="221">
        <f t="shared" si="17"/>
        <v>224834</v>
      </c>
      <c r="K311" s="221">
        <f>INDEX(Data[],MATCH($A311,Data[Dist],0),MATCH(K$5,Data[#Headers],0))</f>
        <v>328906</v>
      </c>
      <c r="M311" s="59">
        <f>INDEX('Payment Total'!$A$7:$H$331,MATCH('Payment by Source'!$A311,'Payment Total'!$A$7:$A$331,0),6)-K311</f>
        <v>0</v>
      </c>
      <c r="O311" s="263">
        <f t="shared" si="20"/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2254287</v>
      </c>
      <c r="X311" s="136">
        <f t="shared" si="18"/>
        <v>225429</v>
      </c>
      <c r="Y311" s="136">
        <f t="shared" si="19"/>
        <v>2254290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4772</v>
      </c>
      <c r="D312" s="221">
        <f>IF(Notes!$B$2="June",ROUND('Budget by Source'!D312/10,0)+S312,ROUND('Budget by Source'!D312/10,0))</f>
        <v>47287</v>
      </c>
      <c r="E312" s="221">
        <f>IF(Notes!$B$2="June",ROUND('Budget by Source'!E312/10,0)+T312,ROUND('Budget by Source'!E312/10,0))</f>
        <v>1924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10236</v>
      </c>
      <c r="H312" s="221">
        <f>INDEX('AEA Funding and Payments'!$A$8:$T$332,MATCH('Payment by Source'!$A312,'AEA Funding and Payments'!$A$8:$A$332,0),MATCH(H$5,'AEA Funding and Payments'!$A$4:$T$4,0))</f>
        <v>5825</v>
      </c>
      <c r="I312" s="221">
        <f>IF(Notes!$B$2="June",INDEX('AEA Funding and Payments'!$A$8:$AI$332,MATCH('Payment by Source'!$A312,'AEA Funding and Payments'!$A$8:$A$332,0),34),
ROUND(INDEX('AEA Funding and Payments'!$A$8:$T$332,MATCH('Payment by Source'!$A312,'AEA Funding and Payments'!$A$8:$A$332,0),MATCH(I$5,'AEA Funding and Payments'!$A$4:$T$4,0))/10,0))</f>
        <v>949</v>
      </c>
      <c r="J312" s="221">
        <f t="shared" si="17"/>
        <v>141045</v>
      </c>
      <c r="K312" s="221">
        <f>INDEX(Data[],MATCH($A312,Data[Dist],0),MATCH(K$5,Data[#Headers],0))</f>
        <v>214073</v>
      </c>
      <c r="M312" s="59">
        <f>INDEX('Payment Total'!$A$7:$H$331,MATCH('Payment by Source'!$A312,'Payment Total'!$A$7:$A$331,0),6)-K312</f>
        <v>0</v>
      </c>
      <c r="O312" s="263">
        <f t="shared" si="20"/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1414450</v>
      </c>
      <c r="X312" s="136">
        <f t="shared" si="18"/>
        <v>141445</v>
      </c>
      <c r="Y312" s="136">
        <f t="shared" si="19"/>
        <v>1414450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127891</v>
      </c>
      <c r="E313" s="221">
        <f>IF(Notes!$B$2="June",ROUND('Budget by Source'!E313/10,0)+T313,ROUND('Budget by Source'!E313/10,0))</f>
        <v>11351</v>
      </c>
      <c r="F313" s="221">
        <f>IF(Notes!$B$2="June",ROUND('Budget by Source'!F313/10,0)+U313,ROUND('Budget by Source'!F313/10,0))</f>
        <v>11371</v>
      </c>
      <c r="G313" s="221">
        <f>IF(Notes!$B$2="June",ROUND('Budget by Source'!G313/10,0)+V313,ROUND('Budget by Source'!G313/10,0))</f>
        <v>57495</v>
      </c>
      <c r="H313" s="221">
        <f>INDEX('AEA Funding and Payments'!$A$8:$T$332,MATCH('Payment by Source'!$A313,'AEA Funding and Payments'!$A$8:$A$332,0),MATCH(H$5,'AEA Funding and Payments'!$A$4:$T$4,0))</f>
        <v>27878</v>
      </c>
      <c r="I313" s="221">
        <f>IF(Notes!$B$2="June",INDEX('AEA Funding and Payments'!$A$8:$AI$332,MATCH('Payment by Source'!$A313,'AEA Funding and Payments'!$A$8:$A$332,0),34),
ROUND(INDEX('AEA Funding and Payments'!$A$8:$T$332,MATCH('Payment by Source'!$A313,'AEA Funding and Payments'!$A$8:$A$332,0),MATCH(I$5,'AEA Funding and Payments'!$A$4:$T$4,0))/10,0))</f>
        <v>4545</v>
      </c>
      <c r="J313" s="221">
        <f t="shared" si="17"/>
        <v>699956</v>
      </c>
      <c r="K313" s="221">
        <f>INDEX(Data[],MATCH($A313,Data[Dist],0),MATCH(K$5,Data[#Headers],0))</f>
        <v>963556</v>
      </c>
      <c r="M313" s="59">
        <f>INDEX('Payment Total'!$A$7:$H$331,MATCH('Payment by Source'!$A313,'Payment Total'!$A$7:$A$331,0),6)-K313</f>
        <v>0</v>
      </c>
      <c r="O313" s="263">
        <f t="shared" si="20"/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7019729</v>
      </c>
      <c r="X313" s="136">
        <f t="shared" si="18"/>
        <v>701973</v>
      </c>
      <c r="Y313" s="136">
        <f t="shared" si="19"/>
        <v>7019730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129661</v>
      </c>
      <c r="D314" s="221">
        <f>IF(Notes!$B$2="June",ROUND('Budget by Source'!D314/10,0)+S314,ROUND('Budget by Source'!D314/10,0))</f>
        <v>656833</v>
      </c>
      <c r="E314" s="221">
        <f>IF(Notes!$B$2="June",ROUND('Budget by Source'!E314/10,0)+T314,ROUND('Budget by Source'!E314/10,0))</f>
        <v>68216</v>
      </c>
      <c r="F314" s="221">
        <f>IF(Notes!$B$2="June",ROUND('Budget by Source'!F314/10,0)+U314,ROUND('Budget by Source'!F314/10,0))</f>
        <v>68507</v>
      </c>
      <c r="G314" s="221">
        <f>IF(Notes!$B$2="June",ROUND('Budget by Source'!G314/10,0)+V314,ROUND('Budget by Source'!G314/10,0))</f>
        <v>352452</v>
      </c>
      <c r="H314" s="221">
        <f>INDEX('AEA Funding and Payments'!$A$8:$T$332,MATCH('Payment by Source'!$A314,'AEA Funding and Payments'!$A$8:$A$332,0),MATCH(H$5,'AEA Funding and Payments'!$A$4:$T$4,0))</f>
        <v>182679</v>
      </c>
      <c r="I314" s="221">
        <f>IF(Notes!$B$2="June",INDEX('AEA Funding and Payments'!$A$8:$AI$332,MATCH('Payment by Source'!$A314,'AEA Funding and Payments'!$A$8:$A$332,0),34),
ROUND(INDEX('AEA Funding and Payments'!$A$8:$T$332,MATCH('Payment by Source'!$A314,'AEA Funding and Payments'!$A$8:$A$332,0),MATCH(I$5,'AEA Funding and Payments'!$A$4:$T$4,0))/10,0))</f>
        <v>27300</v>
      </c>
      <c r="J314" s="221">
        <f t="shared" si="17"/>
        <v>4161600</v>
      </c>
      <c r="K314" s="221">
        <f>INDEX(Data[],MATCH($A314,Data[Dist],0),MATCH(K$5,Data[#Headers],0))</f>
        <v>5647248</v>
      </c>
      <c r="M314" s="59">
        <f>INDEX('Payment Total'!$A$7:$H$331,MATCH('Payment by Source'!$A314,'Payment Total'!$A$7:$A$331,0),6)-K314</f>
        <v>0</v>
      </c>
      <c r="O314" s="263">
        <f t="shared" si="20"/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41745592</v>
      </c>
      <c r="X314" s="136">
        <f t="shared" si="18"/>
        <v>4174559</v>
      </c>
      <c r="Y314" s="136">
        <f t="shared" si="19"/>
        <v>41745590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107787</v>
      </c>
      <c r="D315" s="221">
        <f>IF(Notes!$B$2="June",ROUND('Budget by Source'!D315/10,0)+S315,ROUND('Budget by Source'!D315/10,0))</f>
        <v>308183</v>
      </c>
      <c r="E315" s="221">
        <f>IF(Notes!$B$2="June",ROUND('Budget by Source'!E315/10,0)+T315,ROUND('Budget by Source'!E315/10,0))</f>
        <v>30378</v>
      </c>
      <c r="F315" s="221">
        <f>IF(Notes!$B$2="June",ROUND('Budget by Source'!F315/10,0)+U315,ROUND('Budget by Source'!F315/10,0))</f>
        <v>29224</v>
      </c>
      <c r="G315" s="221">
        <f>IF(Notes!$B$2="June",ROUND('Budget by Source'!G315/10,0)+V315,ROUND('Budget by Source'!G315/10,0))</f>
        <v>148625</v>
      </c>
      <c r="H315" s="221">
        <f>INDEX('AEA Funding and Payments'!$A$8:$T$332,MATCH('Payment by Source'!$A315,'AEA Funding and Payments'!$A$8:$A$332,0),MATCH(H$5,'AEA Funding and Payments'!$A$4:$T$4,0))</f>
        <v>66943</v>
      </c>
      <c r="I315" s="221">
        <f>IF(Notes!$B$2="June",INDEX('AEA Funding and Payments'!$A$8:$AI$332,MATCH('Payment by Source'!$A315,'AEA Funding and Payments'!$A$8:$A$332,0),34),
ROUND(INDEX('AEA Funding and Payments'!$A$8:$T$332,MATCH('Payment by Source'!$A315,'AEA Funding and Payments'!$A$8:$A$332,0),MATCH(I$5,'AEA Funding and Payments'!$A$4:$T$4,0))/10,0))</f>
        <v>10923</v>
      </c>
      <c r="J315" s="221">
        <f t="shared" si="17"/>
        <v>1666143</v>
      </c>
      <c r="K315" s="221">
        <f>INDEX(Data[],MATCH($A315,Data[Dist],0),MATCH(K$5,Data[#Headers],0))</f>
        <v>2368206</v>
      </c>
      <c r="M315" s="59">
        <f>INDEX('Payment Total'!$A$7:$H$331,MATCH('Payment by Source'!$A315,'Payment Total'!$A$7:$A$331,0),6)-K315</f>
        <v>0</v>
      </c>
      <c r="O315" s="263">
        <f t="shared" si="20"/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16709680</v>
      </c>
      <c r="X315" s="136">
        <f t="shared" si="18"/>
        <v>1670968</v>
      </c>
      <c r="Y315" s="136">
        <f t="shared" si="19"/>
        <v>16709680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5167</v>
      </c>
      <c r="D316" s="221">
        <f>IF(Notes!$B$2="June",ROUND('Budget by Source'!D316/10,0)+S316,ROUND('Budget by Source'!D316/10,0))</f>
        <v>40407</v>
      </c>
      <c r="E316" s="221">
        <f>IF(Notes!$B$2="June",ROUND('Budget by Source'!E316/10,0)+T316,ROUND('Budget by Source'!E316/10,0))</f>
        <v>2319</v>
      </c>
      <c r="F316" s="221">
        <f>IF(Notes!$B$2="June",ROUND('Budget by Source'!F316/10,0)+U316,ROUND('Budget by Source'!F316/10,0))</f>
        <v>2650</v>
      </c>
      <c r="G316" s="221">
        <f>IF(Notes!$B$2="June",ROUND('Budget by Source'!G316/10,0)+V316,ROUND('Budget by Source'!G316/10,0))</f>
        <v>13250</v>
      </c>
      <c r="H316" s="221">
        <f>INDEX('AEA Funding and Payments'!$A$8:$T$332,MATCH('Payment by Source'!$A316,'AEA Funding and Payments'!$A$8:$A$332,0),MATCH(H$5,'AEA Funding and Payments'!$A$4:$T$4,0))</f>
        <v>7086</v>
      </c>
      <c r="I316" s="221">
        <f>IF(Notes!$B$2="June",INDEX('AEA Funding and Payments'!$A$8:$AI$332,MATCH('Payment by Source'!$A316,'AEA Funding and Payments'!$A$8:$A$332,0),34),
ROUND(INDEX('AEA Funding and Payments'!$A$8:$T$332,MATCH('Payment by Source'!$A316,'AEA Funding and Payments'!$A$8:$A$332,0),MATCH(I$5,'AEA Funding and Payments'!$A$4:$T$4,0))/10,0))</f>
        <v>1254</v>
      </c>
      <c r="J316" s="221">
        <f t="shared" si="17"/>
        <v>141824</v>
      </c>
      <c r="K316" s="221">
        <f>INDEX(Data[],MATCH($A316,Data[Dist],0),MATCH(K$5,Data[#Headers],0))</f>
        <v>213957</v>
      </c>
      <c r="M316" s="59">
        <f>INDEX('Payment Total'!$A$7:$H$331,MATCH('Payment by Source'!$A316,'Payment Total'!$A$7:$A$331,0),6)-K316</f>
        <v>0</v>
      </c>
      <c r="O316" s="263">
        <f t="shared" si="20"/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1423305</v>
      </c>
      <c r="X316" s="136">
        <f t="shared" si="18"/>
        <v>142331</v>
      </c>
      <c r="Y316" s="136">
        <f t="shared" si="19"/>
        <v>1423310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28641</v>
      </c>
      <c r="D317" s="221">
        <f>IF(Notes!$B$2="June",ROUND('Budget by Source'!D317/10,0)+S317,ROUND('Budget by Source'!D317/10,0))</f>
        <v>126232</v>
      </c>
      <c r="E317" s="221">
        <f>IF(Notes!$B$2="June",ROUND('Budget by Source'!E317/10,0)+T317,ROUND('Budget by Source'!E317/10,0))</f>
        <v>11629</v>
      </c>
      <c r="F317" s="221">
        <f>IF(Notes!$B$2="June",ROUND('Budget by Source'!F317/10,0)+U317,ROUND('Budget by Source'!F317/10,0))</f>
        <v>9089</v>
      </c>
      <c r="G317" s="221">
        <f>IF(Notes!$B$2="June",ROUND('Budget by Source'!G317/10,0)+V317,ROUND('Budget by Source'!G317/10,0))</f>
        <v>47899</v>
      </c>
      <c r="H317" s="221">
        <f>INDEX('AEA Funding and Payments'!$A$8:$T$332,MATCH('Payment by Source'!$A317,'AEA Funding and Payments'!$A$8:$A$332,0),MATCH(H$5,'AEA Funding and Payments'!$A$4:$T$4,0))</f>
        <v>26021</v>
      </c>
      <c r="I317" s="221">
        <f>IF(Notes!$B$2="June",INDEX('AEA Funding and Payments'!$A$8:$AI$332,MATCH('Payment by Source'!$A317,'AEA Funding and Payments'!$A$8:$A$332,0),34),
ROUND(INDEX('AEA Funding and Payments'!$A$8:$T$332,MATCH('Payment by Source'!$A317,'AEA Funding and Payments'!$A$8:$A$332,0),MATCH(I$5,'AEA Funding and Payments'!$A$4:$T$4,0))/10,0))</f>
        <v>4033</v>
      </c>
      <c r="J317" s="221">
        <f t="shared" si="17"/>
        <v>900254</v>
      </c>
      <c r="K317" s="221">
        <f>INDEX(Data[],MATCH($A317,Data[Dist],0),MATCH(K$5,Data[#Headers],0))</f>
        <v>1153798</v>
      </c>
      <c r="M317" s="59">
        <f>INDEX('Payment Total'!$A$7:$H$331,MATCH('Payment by Source'!$A317,'Payment Total'!$A$7:$A$331,0),6)-K317</f>
        <v>0</v>
      </c>
      <c r="O317" s="263">
        <f t="shared" si="20"/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9021452</v>
      </c>
      <c r="X317" s="136">
        <f t="shared" si="18"/>
        <v>902145</v>
      </c>
      <c r="Y317" s="136">
        <f t="shared" si="19"/>
        <v>9021450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22674</v>
      </c>
      <c r="D318" s="221">
        <f>IF(Notes!$B$2="June",ROUND('Budget by Source'!D318/10,0)+S318,ROUND('Budget by Source'!D318/10,0))</f>
        <v>90493</v>
      </c>
      <c r="E318" s="221">
        <f>IF(Notes!$B$2="June",ROUND('Budget by Source'!E318/10,0)+T318,ROUND('Budget by Source'!E318/10,0))</f>
        <v>8191</v>
      </c>
      <c r="F318" s="221">
        <f>IF(Notes!$B$2="June",ROUND('Budget by Source'!F318/10,0)+U318,ROUND('Budget by Source'!F318/10,0))</f>
        <v>7945</v>
      </c>
      <c r="G318" s="221">
        <f>IF(Notes!$B$2="June",ROUND('Budget by Source'!G318/10,0)+V318,ROUND('Budget by Source'!G318/10,0))</f>
        <v>41779</v>
      </c>
      <c r="H318" s="221">
        <f>INDEX('AEA Funding and Payments'!$A$8:$T$332,MATCH('Payment by Source'!$A318,'AEA Funding and Payments'!$A$8:$A$332,0),MATCH(H$5,'AEA Funding and Payments'!$A$4:$T$4,0))</f>
        <v>19357</v>
      </c>
      <c r="I318" s="221">
        <f>IF(Notes!$B$2="June",INDEX('AEA Funding and Payments'!$A$8:$AI$332,MATCH('Payment by Source'!$A318,'AEA Funding and Payments'!$A$8:$A$332,0),34),
ROUND(INDEX('AEA Funding and Payments'!$A$8:$T$332,MATCH('Payment by Source'!$A318,'AEA Funding and Payments'!$A$8:$A$332,0),MATCH(I$5,'AEA Funding and Payments'!$A$4:$T$4,0))/10,0))</f>
        <v>3068</v>
      </c>
      <c r="J318" s="221">
        <f t="shared" si="17"/>
        <v>444497</v>
      </c>
      <c r="K318" s="221">
        <f>INDEX(Data[],MATCH($A318,Data[Dist],0),MATCH(K$5,Data[#Headers],0))</f>
        <v>638004</v>
      </c>
      <c r="M318" s="59">
        <f>INDEX('Payment Total'!$A$7:$H$331,MATCH('Payment by Source'!$A318,'Payment Total'!$A$7:$A$331,0),6)-K318</f>
        <v>0</v>
      </c>
      <c r="O318" s="263">
        <f t="shared" si="20"/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4459469</v>
      </c>
      <c r="X318" s="136">
        <f t="shared" si="18"/>
        <v>445947</v>
      </c>
      <c r="Y318" s="136">
        <f t="shared" si="19"/>
        <v>4459470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17102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6174</v>
      </c>
      <c r="F319" s="221">
        <f>IF(Notes!$B$2="June",ROUND('Budget by Source'!F319/10,0)+U319,ROUND('Budget by Source'!F319/10,0))</f>
        <v>5099</v>
      </c>
      <c r="G319" s="221">
        <f>IF(Notes!$B$2="June",ROUND('Budget by Source'!G319/10,0)+V319,ROUND('Budget by Source'!G319/10,0))</f>
        <v>28766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IF(Notes!$B$2="June",INDEX('AEA Funding and Payments'!$A$8:$AI$332,MATCH('Payment by Source'!$A319,'AEA Funding and Payments'!$A$8:$A$332,0),34),
ROUND(INDEX('AEA Funding and Payments'!$A$8:$T$332,MATCH('Payment by Source'!$A319,'AEA Funding and Payments'!$A$8:$A$332,0),MATCH(I$5,'AEA Funding and Payments'!$A$4:$T$4,0))/10,0))</f>
        <v>2478</v>
      </c>
      <c r="J319" s="221">
        <f>K319-SUM(C319:I319)</f>
        <v>390764</v>
      </c>
      <c r="K319" s="221">
        <f>INDEX(Data[],MATCH($A319,Data[Dist],0),MATCH(K$5,Data[#Headers],0))</f>
        <v>535746</v>
      </c>
      <c r="M319" s="59">
        <f>INDEX('Payment Total'!$A$7:$H$331,MATCH('Payment by Source'!$A319,'Payment Total'!$A$7:$A$331,0),6)-K319</f>
        <v>0</v>
      </c>
      <c r="O319" s="263">
        <f t="shared" si="20"/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3918629</v>
      </c>
      <c r="X319" s="136">
        <f t="shared" si="18"/>
        <v>391863</v>
      </c>
      <c r="Y319" s="136">
        <f t="shared" si="19"/>
        <v>3918630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17497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4651</v>
      </c>
      <c r="F320" s="221">
        <f>IF(Notes!$B$2="June",ROUND('Budget by Source'!F320/10,0)+U320,ROUND('Budget by Source'!F320/10,0))</f>
        <v>4330</v>
      </c>
      <c r="G320" s="221">
        <f>IF(Notes!$B$2="June",ROUND('Budget by Source'!G320/10,0)+V320,ROUND('Budget by Source'!G320/10,0))</f>
        <v>22110</v>
      </c>
      <c r="H320" s="221">
        <f>INDEX('AEA Funding and Payments'!$A$8:$T$332,MATCH('Payment by Source'!$A320,'AEA Funding and Payments'!$A$8:$A$332,0),MATCH(H$5,'AEA Funding and Payments'!$A$4:$T$4,0))</f>
        <v>12257</v>
      </c>
      <c r="I320" s="221">
        <f>IF(Notes!$B$2="June",INDEX('AEA Funding and Payments'!$A$8:$AI$332,MATCH('Payment by Source'!$A320,'AEA Funding and Payments'!$A$8:$A$332,0),34),
ROUND(INDEX('AEA Funding and Payments'!$A$8:$T$332,MATCH('Payment by Source'!$A320,'AEA Funding and Payments'!$A$8:$A$332,0),MATCH(I$5,'AEA Funding and Payments'!$A$4:$T$4,0))/10,0))</f>
        <v>2031</v>
      </c>
      <c r="J320" s="221">
        <f t="shared" si="17"/>
        <v>289668</v>
      </c>
      <c r="K320" s="221">
        <f>INDEX(Data[],MATCH($A320,Data[Dist],0),MATCH(K$5,Data[#Headers],0))</f>
        <v>423082</v>
      </c>
      <c r="M320" s="59">
        <f>INDEX('Payment Total'!$A$7:$H$331,MATCH('Payment by Source'!$A320,'Payment Total'!$A$7:$A$331,0),6)-K320</f>
        <v>0</v>
      </c>
      <c r="O320" s="263">
        <f t="shared" si="20"/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2905340</v>
      </c>
      <c r="X320" s="136">
        <f t="shared" si="18"/>
        <v>290534</v>
      </c>
      <c r="Y320" s="136">
        <f t="shared" si="19"/>
        <v>2905340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14301</v>
      </c>
      <c r="D321" s="221">
        <f>IF(Notes!$B$2="June",ROUND('Budget by Source'!D321/10,0)+S321,ROUND('Budget by Source'!D321/10,0))</f>
        <v>85116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6693</v>
      </c>
      <c r="G321" s="221">
        <f>IF(Notes!$B$2="June",ROUND('Budget by Source'!G321/10,0)+V321,ROUND('Budget by Source'!G321/10,0))</f>
        <v>31362</v>
      </c>
      <c r="H321" s="221">
        <f>INDEX('AEA Funding and Payments'!$A$8:$T$332,MATCH('Payment by Source'!$A321,'AEA Funding and Payments'!$A$8:$A$332,0),MATCH(H$5,'AEA Funding and Payments'!$A$4:$T$4,0))</f>
        <v>15594</v>
      </c>
      <c r="I321" s="221">
        <f>IF(Notes!$B$2="June",INDEX('AEA Funding and Payments'!$A$8:$AI$332,MATCH('Payment by Source'!$A321,'AEA Funding and Payments'!$A$8:$A$332,0),34),
ROUND(INDEX('AEA Funding and Payments'!$A$8:$T$332,MATCH('Payment by Source'!$A321,'AEA Funding and Payments'!$A$8:$A$332,0),MATCH(I$5,'AEA Funding and Payments'!$A$4:$T$4,0))/10,0))</f>
        <v>2655</v>
      </c>
      <c r="J321" s="221">
        <f t="shared" si="17"/>
        <v>515529</v>
      </c>
      <c r="K321" s="221">
        <f>INDEX(Data[],MATCH($A321,Data[Dist],0),MATCH(K$5,Data[#Headers],0))</f>
        <v>678204</v>
      </c>
      <c r="M321" s="59">
        <f>INDEX('Payment Total'!$A$7:$H$331,MATCH('Payment by Source'!$A321,'Payment Total'!$A$7:$A$331,0),6)-K321</f>
        <v>0</v>
      </c>
      <c r="O321" s="263">
        <f t="shared" si="20"/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5166377</v>
      </c>
      <c r="X321" s="136">
        <f t="shared" si="18"/>
        <v>516638</v>
      </c>
      <c r="Y321" s="136">
        <f t="shared" si="19"/>
        <v>5166380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4359</v>
      </c>
      <c r="F322" s="221">
        <f>IF(Notes!$B$2="June",ROUND('Budget by Source'!F322/10,0)+U322,ROUND('Budget by Source'!F322/10,0))</f>
        <v>4376</v>
      </c>
      <c r="G322" s="221">
        <f>IF(Notes!$B$2="June",ROUND('Budget by Source'!G322/10,0)+V322,ROUND('Budget by Source'!G322/10,0))</f>
        <v>20315</v>
      </c>
      <c r="H322" s="221">
        <f>INDEX('AEA Funding and Payments'!$A$8:$T$332,MATCH('Payment by Source'!$A322,'AEA Funding and Payments'!$A$8:$A$332,0),MATCH(H$5,'AEA Funding and Payments'!$A$4:$T$4,0))</f>
        <v>10759</v>
      </c>
      <c r="I322" s="221">
        <f>IF(Notes!$B$2="June",INDEX('AEA Funding and Payments'!$A$8:$AI$332,MATCH('Payment by Source'!$A322,'AEA Funding and Payments'!$A$8:$A$332,0),34),
ROUND(INDEX('AEA Funding and Payments'!$A$8:$T$332,MATCH('Payment by Source'!$A322,'AEA Funding and Payments'!$A$8:$A$332,0),MATCH(I$5,'AEA Funding and Payments'!$A$4:$T$4,0))/10,0))</f>
        <v>1822</v>
      </c>
      <c r="J322" s="221">
        <f t="shared" si="17"/>
        <v>188205</v>
      </c>
      <c r="K322" s="221">
        <f>INDEX(Data[],MATCH($A322,Data[Dist],0),MATCH(K$5,Data[#Headers],0))</f>
        <v>295795</v>
      </c>
      <c r="M322" s="59">
        <f>INDEX('Payment Total'!$A$7:$H$331,MATCH('Payment by Source'!$A322,'Payment Total'!$A$7:$A$331,0),6)-K322</f>
        <v>0</v>
      </c>
      <c r="O322" s="263">
        <f t="shared" si="20"/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1889670</v>
      </c>
      <c r="X322" s="136">
        <f t="shared" si="18"/>
        <v>188967</v>
      </c>
      <c r="Y322" s="136">
        <f t="shared" si="19"/>
        <v>1889670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1195</v>
      </c>
      <c r="D323" s="221">
        <f>IF(Notes!$B$2="June",ROUND('Budget by Source'!D323/10,0)+S323,ROUND('Budget by Source'!D323/10,0))</f>
        <v>34711</v>
      </c>
      <c r="E323" s="221">
        <f>IF(Notes!$B$2="June",ROUND('Budget by Source'!E323/10,0)+T323,ROUND('Budget by Source'!E323/10,0))</f>
        <v>1926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3540</v>
      </c>
      <c r="I323" s="221">
        <f>IF(Notes!$B$2="June",INDEX('AEA Funding and Payments'!$A$8:$AI$332,MATCH('Payment by Source'!$A323,'AEA Funding and Payments'!$A$8:$A$332,0),34),
ROUND(INDEX('AEA Funding and Payments'!$A$8:$T$332,MATCH('Payment by Source'!$A323,'AEA Funding and Payments'!$A$8:$A$332,0),MATCH(I$5,'AEA Funding and Payments'!$A$4:$T$4,0))/10,0))</f>
        <v>640</v>
      </c>
      <c r="J323" s="221">
        <f t="shared" si="17"/>
        <v>69864</v>
      </c>
      <c r="K323" s="221">
        <f>INDEX(Data[],MATCH($A323,Data[Dist],0),MATCH(K$5,Data[#Headers],0))</f>
        <v>120909</v>
      </c>
      <c r="M323" s="59">
        <f>INDEX('Payment Total'!$A$7:$H$331,MATCH('Payment by Source'!$A323,'Payment Total'!$A$7:$A$331,0),6)-K323</f>
        <v>0</v>
      </c>
      <c r="O323" s="263">
        <f t="shared" si="20"/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701288</v>
      </c>
      <c r="X323" s="136">
        <f t="shared" si="18"/>
        <v>70129</v>
      </c>
      <c r="Y323" s="136">
        <f t="shared" si="19"/>
        <v>701290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21874</v>
      </c>
      <c r="D324" s="221">
        <f>IF(Notes!$B$2="June",ROUND('Budget by Source'!D324/10,0)+S324,ROUND('Budget by Source'!D324/10,0))</f>
        <v>101574</v>
      </c>
      <c r="E324" s="221">
        <f>IF(Notes!$B$2="June",ROUND('Budget by Source'!E324/10,0)+T324,ROUND('Budget by Source'!E324/10,0))</f>
        <v>7999</v>
      </c>
      <c r="F324" s="221">
        <f>IF(Notes!$B$2="June",ROUND('Budget by Source'!F324/10,0)+U324,ROUND('Budget by Source'!F324/10,0))</f>
        <v>8860</v>
      </c>
      <c r="G324" s="221">
        <f>IF(Notes!$B$2="June",ROUND('Budget by Source'!G324/10,0)+V324,ROUND('Budget by Source'!G324/10,0))</f>
        <v>45289</v>
      </c>
      <c r="H324" s="221">
        <f>INDEX('AEA Funding and Payments'!$A$8:$T$332,MATCH('Payment by Source'!$A324,'AEA Funding and Payments'!$A$8:$A$332,0),MATCH(H$5,'AEA Funding and Payments'!$A$4:$T$4,0))</f>
        <v>22747</v>
      </c>
      <c r="I324" s="221">
        <f>IF(Notes!$B$2="June",INDEX('AEA Funding and Payments'!$A$8:$AI$332,MATCH('Payment by Source'!$A324,'AEA Funding and Payments'!$A$8:$A$332,0),34),
ROUND(INDEX('AEA Funding and Payments'!$A$8:$T$332,MATCH('Payment by Source'!$A324,'AEA Funding and Payments'!$A$8:$A$332,0),MATCH(I$5,'AEA Funding and Payments'!$A$4:$T$4,0))/10,0))</f>
        <v>3577</v>
      </c>
      <c r="J324" s="221">
        <f t="shared" si="17"/>
        <v>635391</v>
      </c>
      <c r="K324" s="221">
        <f>INDEX(Data[],MATCH($A324,Data[Dist],0),MATCH(K$5,Data[#Headers],0))</f>
        <v>847311</v>
      </c>
      <c r="M324" s="59">
        <f>INDEX('Payment Total'!$A$7:$H$331,MATCH('Payment by Source'!$A324,'Payment Total'!$A$7:$A$331,0),6)-K324</f>
        <v>0</v>
      </c>
      <c r="O324" s="263">
        <f t="shared" si="20"/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6370684</v>
      </c>
      <c r="X324" s="136">
        <f t="shared" si="18"/>
        <v>637068</v>
      </c>
      <c r="Y324" s="136">
        <f t="shared" si="19"/>
        <v>6370680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15511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32161</v>
      </c>
      <c r="H325" s="221">
        <f>INDEX('AEA Funding and Payments'!$A$8:$T$332,MATCH('Payment by Source'!$A325,'AEA Funding and Payments'!$A$8:$A$332,0),MATCH(H$5,'AEA Funding and Payments'!$A$4:$T$4,0))</f>
        <v>16758</v>
      </c>
      <c r="I325" s="221">
        <f>IF(Notes!$B$2="June",INDEX('AEA Funding and Payments'!$A$8:$AI$332,MATCH('Payment by Source'!$A325,'AEA Funding and Payments'!$A$8:$A$332,0),34),
ROUND(INDEX('AEA Funding and Payments'!$A$8:$T$332,MATCH('Payment by Source'!$A325,'AEA Funding and Payments'!$A$8:$A$332,0),MATCH(I$5,'AEA Funding and Payments'!$A$4:$T$4,0))/10,0))</f>
        <v>2689</v>
      </c>
      <c r="J325" s="221">
        <f t="shared" si="17"/>
        <v>517753</v>
      </c>
      <c r="K325" s="221">
        <f>INDEX(Data[],MATCH($A325,Data[Dist],0),MATCH(K$5,Data[#Headers],0))</f>
        <v>676024</v>
      </c>
      <c r="M325" s="59">
        <f>INDEX('Payment Total'!$A$7:$H$331,MATCH('Payment by Source'!$A325,'Payment Total'!$A$7:$A$331,0),6)-K325</f>
        <v>0</v>
      </c>
      <c r="O325" s="263">
        <f t="shared" si="20"/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5189818</v>
      </c>
      <c r="X325" s="136">
        <f t="shared" si="18"/>
        <v>518982</v>
      </c>
      <c r="Y325" s="136">
        <f t="shared" si="19"/>
        <v>5189820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5572</v>
      </c>
      <c r="D326" s="221">
        <f>IF(Notes!$B$2="June",ROUND('Budget by Source'!D326/10,0)+S326,ROUND('Budget by Source'!D326/10,0))</f>
        <v>46289</v>
      </c>
      <c r="E326" s="221">
        <f>IF(Notes!$B$2="June",ROUND('Budget by Source'!E326/10,0)+T326,ROUND('Budget by Source'!E326/10,0))</f>
        <v>2728</v>
      </c>
      <c r="F326" s="221">
        <f>IF(Notes!$B$2="June",ROUND('Budget by Source'!F326/10,0)+U326,ROUND('Budget by Source'!F326/10,0))</f>
        <v>2417</v>
      </c>
      <c r="G326" s="221">
        <f>IF(Notes!$B$2="June",ROUND('Budget by Source'!G326/10,0)+V326,ROUND('Budget by Source'!G326/10,0))</f>
        <v>11961</v>
      </c>
      <c r="H326" s="221">
        <f>INDEX('AEA Funding and Payments'!$A$8:$T$332,MATCH('Payment by Source'!$A326,'AEA Funding and Payments'!$A$8:$A$332,0),MATCH(H$5,'AEA Funding and Payments'!$A$4:$T$4,0))</f>
        <v>6427</v>
      </c>
      <c r="I326" s="221">
        <f>IF(Notes!$B$2="June",INDEX('AEA Funding and Payments'!$A$8:$AI$332,MATCH('Payment by Source'!$A326,'AEA Funding and Payments'!$A$8:$A$332,0),34),
ROUND(INDEX('AEA Funding and Payments'!$A$8:$T$332,MATCH('Payment by Source'!$A326,'AEA Funding and Payments'!$A$8:$A$332,0),MATCH(I$5,'AEA Funding and Payments'!$A$4:$T$4,0))/10,0))</f>
        <v>1005</v>
      </c>
      <c r="J326" s="221">
        <f t="shared" si="17"/>
        <v>158006</v>
      </c>
      <c r="K326" s="221">
        <f>INDEX(Data[],MATCH($A326,Data[Dist],0),MATCH(K$5,Data[#Headers],0))</f>
        <v>234405</v>
      </c>
      <c r="M326" s="59">
        <f>INDEX('Payment Total'!$A$7:$H$331,MATCH('Payment by Source'!$A326,'Payment Total'!$A$7:$A$331,0),6)-K326</f>
        <v>0</v>
      </c>
      <c r="O326" s="263">
        <f t="shared" si="20"/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1750965</v>
      </c>
      <c r="X326" s="136">
        <f t="shared" si="18"/>
        <v>175097</v>
      </c>
      <c r="Y326" s="136">
        <f t="shared" si="19"/>
        <v>1750970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27851</v>
      </c>
      <c r="D327" s="221">
        <f>IF(Notes!$B$2="June",ROUND('Budget by Source'!D327/10,0)+S327,ROUND('Budget by Source'!D327/10,0))</f>
        <v>133895</v>
      </c>
      <c r="E327" s="221">
        <f>IF(Notes!$B$2="June",ROUND('Budget by Source'!E327/10,0)+T327,ROUND('Budget by Source'!E327/10,0))</f>
        <v>14209</v>
      </c>
      <c r="F327" s="221">
        <f>IF(Notes!$B$2="June",ROUND('Budget by Source'!F327/10,0)+U327,ROUND('Budget by Source'!F327/10,0))</f>
        <v>12011</v>
      </c>
      <c r="G327" s="246">
        <f>IF(Notes!$B$2="June",ROUND('Budget by Source'!G327/10,0)+V327,ROUND('Budget by Source'!G327/10,0))</f>
        <v>63756</v>
      </c>
      <c r="H327" s="221">
        <f>INDEX('AEA Funding and Payments'!$A$8:$T$332,MATCH('Payment by Source'!$A327,'AEA Funding and Payments'!$A$8:$A$332,0),MATCH(H$5,'AEA Funding and Payments'!$A$4:$T$4,0))</f>
        <v>35448</v>
      </c>
      <c r="I327" s="221">
        <f>IF(Notes!$B$2="June",INDEX('AEA Funding and Payments'!$A$8:$AI$332,MATCH('Payment by Source'!$A327,'AEA Funding and Payments'!$A$8:$A$332,0),34),
ROUND(INDEX('AEA Funding and Payments'!$A$8:$T$332,MATCH('Payment by Source'!$A327,'AEA Funding and Payments'!$A$8:$A$332,0),MATCH(I$5,'AEA Funding and Payments'!$A$4:$T$4,0))/10,0))</f>
        <v>5296</v>
      </c>
      <c r="J327" s="221">
        <f t="shared" ref="J327:J329" si="21">K327-SUM(C327:I327)</f>
        <v>1013406</v>
      </c>
      <c r="K327" s="221">
        <f>INDEX(Data[],MATCH($A327,Data[Dist],0),MATCH(K$5,Data[#Headers],0))</f>
        <v>1305872</v>
      </c>
      <c r="M327" s="59">
        <f>INDEX('Payment Total'!$A$7:$H$331,MATCH('Payment by Source'!$A327,'Payment Total'!$A$7:$A$331,0),6)-K327</f>
        <v>0</v>
      </c>
      <c r="O327" s="263">
        <f t="shared" si="20"/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10159046</v>
      </c>
      <c r="X327" s="136">
        <f t="shared" ref="X327:X329" si="22">ROUND(W327/10,0)</f>
        <v>1015905</v>
      </c>
      <c r="Y327" s="136">
        <f t="shared" ref="Y327:Y329" si="23">X327*10</f>
        <v>10159050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13121</v>
      </c>
      <c r="D328" s="221">
        <f>IF(Notes!$B$2="June",ROUND('Budget by Source'!D328/10,0)+S328,ROUND('Budget by Source'!D328/10,0))</f>
        <v>58971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4264</v>
      </c>
      <c r="G328" s="246">
        <f>IF(Notes!$B$2="June",ROUND('Budget by Source'!G328/10,0)+V328,ROUND('Budget by Source'!G328/10,0))</f>
        <v>19902</v>
      </c>
      <c r="H328" s="221">
        <f>INDEX('AEA Funding and Payments'!$A$8:$T$332,MATCH('Payment by Source'!$A328,'AEA Funding and Payments'!$A$8:$A$332,0),MATCH(H$5,'AEA Funding and Payments'!$A$4:$T$4,0))</f>
        <v>10756</v>
      </c>
      <c r="I328" s="221">
        <f>IF(Notes!$B$2="June",INDEX('AEA Funding and Payments'!$A$8:$AI$332,MATCH('Payment by Source'!$A328,'AEA Funding and Payments'!$A$8:$A$332,0),34),
ROUND(INDEX('AEA Funding and Payments'!$A$8:$T$332,MATCH('Payment by Source'!$A328,'AEA Funding and Payments'!$A$8:$A$332,0),MATCH(I$5,'AEA Funding and Payments'!$A$4:$T$4,0))/10,0))</f>
        <v>1663</v>
      </c>
      <c r="J328" s="221">
        <f t="shared" si="21"/>
        <v>305484</v>
      </c>
      <c r="K328" s="221">
        <f>INDEX(Data[],MATCH($A328,Data[Dist],0),MATCH(K$5,Data[#Headers],0))</f>
        <v>418623</v>
      </c>
      <c r="M328" s="59">
        <f>INDEX('Payment Total'!$A$7:$H$331,MATCH('Payment by Source'!$A328,'Payment Total'!$A$7:$A$331,0),6)-K328</f>
        <v>0</v>
      </c>
      <c r="O328" s="263">
        <f t="shared" si="20"/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3062551</v>
      </c>
      <c r="X328" s="136">
        <f t="shared" si="22"/>
        <v>306255</v>
      </c>
      <c r="Y328" s="136">
        <f t="shared" si="23"/>
        <v>3062550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11135</v>
      </c>
      <c r="D329" s="221">
        <f>IF(Notes!$B$2="June",ROUND('Budget by Source'!D329/10,0)+S329,ROUND('Budget by Source'!D329/10,0))</f>
        <v>56557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20111</v>
      </c>
      <c r="H329" s="221">
        <f>INDEX('AEA Funding and Payments'!$A$8:$T$332,MATCH('Payment by Source'!$A329,'AEA Funding and Payments'!$A$8:$A$332,0),MATCH(H$5,'AEA Funding and Payments'!$A$4:$T$4,0))</f>
        <v>11323</v>
      </c>
      <c r="I329" s="221">
        <f>IF(Notes!$B$2="June",INDEX('AEA Funding and Payments'!$A$8:$AI$332,MATCH('Payment by Source'!$A329,'AEA Funding and Payments'!$A$8:$A$332,0),34),
ROUND(INDEX('AEA Funding and Payments'!$A$8:$T$332,MATCH('Payment by Source'!$A329,'AEA Funding and Payments'!$A$8:$A$332,0),MATCH(I$5,'AEA Funding and Payments'!$A$4:$T$4,0))/10,0))</f>
        <v>1797</v>
      </c>
      <c r="J329" s="221">
        <f t="shared" si="21"/>
        <v>320909</v>
      </c>
      <c r="K329" s="221">
        <f>INDEX(Data[],MATCH($A329,Data[Dist],0),MATCH(K$5,Data[#Headers],0))</f>
        <v>429898</v>
      </c>
      <c r="M329" s="59">
        <f>INDEX('Payment Total'!$A$7:$H$331,MATCH('Payment by Source'!$A329,'Payment Total'!$A$7:$A$331,0),6)-K329</f>
        <v>0</v>
      </c>
      <c r="O329" s="263">
        <f t="shared" si="20"/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3216975</v>
      </c>
      <c r="X329" s="136">
        <f t="shared" si="22"/>
        <v>321698</v>
      </c>
      <c r="Y329" s="136">
        <f t="shared" si="23"/>
        <v>3216980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29432</v>
      </c>
      <c r="D330" s="221">
        <f>IF(Notes!$B$2="June",ROUND('Budget by Source'!D330/10,0)+S330,ROUND('Budget by Source'!D330/10,0))</f>
        <v>95839</v>
      </c>
      <c r="E330" s="221">
        <f>IF(Notes!$B$2="June",ROUND('Budget by Source'!E330/10,0)+T330,ROUND('Budget by Source'!E330/10,0))</f>
        <v>8594</v>
      </c>
      <c r="F330" s="247">
        <f>IF(Notes!$B$2="June",ROUND('Budget by Source'!F330/10,0)+U330,ROUND('Budget by Source'!F330/10,0))</f>
        <v>8099</v>
      </c>
      <c r="G330" s="21">
        <f>IF(Notes!$B$2="June",ROUND('Budget by Source'!G330/10,0)+V330,ROUND('Budget by Source'!G330/10,0))</f>
        <v>43244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IF(Notes!$B$2="June",INDEX('AEA Funding and Payments'!$A$8:$AI$332,MATCH('Payment by Source'!$A330,'AEA Funding and Payments'!$A$8:$A$332,0),34),
ROUND(INDEX('AEA Funding and Payments'!$A$8:$T$332,MATCH('Payment by Source'!$A330,'AEA Funding and Payments'!$A$8:$A$332,0),MATCH(I$5,'AEA Funding and Payments'!$A$4:$T$4,0))/10,0))</f>
        <v>3446</v>
      </c>
      <c r="J330" s="221">
        <f>K330-SUM(C330:I330)</f>
        <v>680894</v>
      </c>
      <c r="K330" s="221">
        <f>INDEX(Data[],MATCH($A330,Data[Dist],0),MATCH(K$5,Data[#Headers],0))</f>
        <v>892598</v>
      </c>
      <c r="M330" s="59">
        <f>INDEX('Payment Total'!$A$7:$H$331,MATCH('Payment by Source'!$A330,'Payment Total'!$A$7:$A$331,0),6)-K330</f>
        <v>0</v>
      </c>
      <c r="O330" s="263">
        <f>SUM(C330:J330)-K330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6825699</v>
      </c>
      <c r="X330" s="136">
        <f>ROUND(W330/10,0)</f>
        <v>682570</v>
      </c>
      <c r="Y330" s="136">
        <f>X330*10</f>
        <v>6825700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24">SUM(C6:C330)</f>
        <v>9093162</v>
      </c>
      <c r="D331" s="214">
        <f t="shared" si="24"/>
        <v>44070796</v>
      </c>
      <c r="E331" s="214">
        <f t="shared" si="24"/>
        <v>4283688</v>
      </c>
      <c r="F331" s="214">
        <f t="shared" si="24"/>
        <v>3939164</v>
      </c>
      <c r="G331" s="23">
        <f t="shared" si="24"/>
        <v>19630712</v>
      </c>
      <c r="H331" s="23">
        <f t="shared" si="24"/>
        <v>10318903</v>
      </c>
      <c r="I331" s="23">
        <f t="shared" si="24"/>
        <v>1604884</v>
      </c>
      <c r="J331" s="214">
        <f t="shared" si="24"/>
        <v>297207643</v>
      </c>
      <c r="K331" s="214">
        <f t="shared" si="24"/>
        <v>390148952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AI334"/>
  <sheetViews>
    <sheetView zoomScaleNormal="100" workbookViewId="0">
      <pane xSplit="2" ySplit="7" topLeftCell="C317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53" hidden="1" customWidth="1"/>
    <col min="23" max="23" width="11.140625" style="53" hidden="1" customWidth="1"/>
    <col min="24" max="24" width="12.5703125" style="53" hidden="1" customWidth="1"/>
    <col min="25" max="26" width="0" style="53" hidden="1" customWidth="1"/>
    <col min="27" max="27" width="10.5703125" style="20" hidden="1" customWidth="1"/>
    <col min="28" max="28" width="13.28515625" style="20" hidden="1" customWidth="1"/>
    <col min="29" max="29" width="12.42578125" style="20" hidden="1" customWidth="1"/>
    <col min="30" max="31" width="0" style="20" hidden="1" customWidth="1"/>
    <col min="32" max="32" width="11.140625" style="20" hidden="1" customWidth="1"/>
    <col min="33" max="33" width="13.85546875" style="20" hidden="1" customWidth="1"/>
    <col min="34" max="34" width="13" style="20" hidden="1" customWidth="1"/>
    <col min="35" max="35" width="0" style="20" hidden="1" customWidth="1"/>
    <col min="36" max="16384" width="9.140625" style="20"/>
  </cols>
  <sheetData>
    <row r="1" spans="1:35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  <c r="V1" s="277"/>
      <c r="W1" s="277"/>
      <c r="X1" s="277"/>
      <c r="Y1" s="277"/>
      <c r="Z1" s="277"/>
    </row>
    <row r="2" spans="1:35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  <c r="V2" s="277"/>
      <c r="W2" s="277"/>
      <c r="X2" s="277"/>
      <c r="Y2" s="277"/>
      <c r="Z2" s="277"/>
    </row>
    <row r="3" spans="1:35" s="245" customFormat="1" ht="63" x14ac:dyDescent="0.25">
      <c r="A3" s="241"/>
      <c r="B3" s="242"/>
      <c r="C3" s="243" t="s">
        <v>1217</v>
      </c>
      <c r="D3" s="244"/>
      <c r="E3" s="260"/>
      <c r="F3" s="260"/>
      <c r="G3" s="243" t="s">
        <v>1223</v>
      </c>
      <c r="H3" s="243"/>
      <c r="I3" s="243"/>
      <c r="J3" s="243" t="s">
        <v>1225</v>
      </c>
      <c r="K3" s="244"/>
      <c r="L3" s="243" t="s">
        <v>1219</v>
      </c>
      <c r="M3" s="244"/>
      <c r="N3" s="243" t="s">
        <v>1220</v>
      </c>
      <c r="O3" s="243" t="s">
        <v>1221</v>
      </c>
      <c r="P3" s="243" t="s">
        <v>1222</v>
      </c>
      <c r="Q3" s="244"/>
      <c r="R3" s="243" t="s">
        <v>1211</v>
      </c>
      <c r="S3" s="243" t="s">
        <v>1212</v>
      </c>
      <c r="T3" s="243" t="s">
        <v>1213</v>
      </c>
      <c r="V3" s="278"/>
      <c r="W3" s="278"/>
      <c r="X3" s="278"/>
      <c r="Y3" s="278"/>
      <c r="Z3" s="278"/>
    </row>
    <row r="4" spans="1:35" s="14" customFormat="1" ht="89.25" x14ac:dyDescent="0.2">
      <c r="A4" s="223"/>
      <c r="B4" s="215"/>
      <c r="C4" s="217" t="s">
        <v>1218</v>
      </c>
      <c r="D4" s="216"/>
      <c r="E4" s="261" t="s">
        <v>1728</v>
      </c>
      <c r="F4" s="261" t="s">
        <v>1729</v>
      </c>
      <c r="G4" s="217" t="s">
        <v>1224</v>
      </c>
      <c r="H4" s="261" t="s">
        <v>1730</v>
      </c>
      <c r="I4" s="261" t="s">
        <v>1729</v>
      </c>
      <c r="J4" s="217" t="s">
        <v>1226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1770</v>
      </c>
      <c r="S4" s="248" t="s">
        <v>1771</v>
      </c>
      <c r="T4" s="217" t="s">
        <v>1214</v>
      </c>
      <c r="V4" s="277" t="s">
        <v>1763</v>
      </c>
      <c r="W4" s="277"/>
      <c r="X4" s="277"/>
      <c r="Y4" s="277"/>
      <c r="Z4" s="277"/>
    </row>
    <row r="5" spans="1:35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1329</v>
      </c>
      <c r="F5" s="261" t="s">
        <v>1563</v>
      </c>
      <c r="G5" s="218"/>
      <c r="H5" s="261" t="s">
        <v>1332</v>
      </c>
      <c r="I5" s="261" t="s">
        <v>1566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  <c r="V5" s="277"/>
      <c r="W5" s="277"/>
      <c r="X5" s="277"/>
      <c r="Y5" s="277"/>
      <c r="Z5" s="277"/>
    </row>
    <row r="6" spans="1:35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1216</v>
      </c>
      <c r="H6" s="231"/>
      <c r="I6" s="231"/>
      <c r="J6" s="231" t="s">
        <v>1216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  <c r="V6" s="277" t="s">
        <v>1768</v>
      </c>
      <c r="W6" s="277"/>
      <c r="X6" s="277"/>
      <c r="Y6" s="277"/>
      <c r="Z6" s="277"/>
      <c r="AA6" s="277" t="s">
        <v>1769</v>
      </c>
      <c r="AB6" s="277"/>
      <c r="AC6" s="277"/>
      <c r="AD6" s="277"/>
      <c r="AF6" s="14" t="s">
        <v>1196</v>
      </c>
    </row>
    <row r="7" spans="1:35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1215</v>
      </c>
      <c r="H7" s="233"/>
      <c r="I7" s="233"/>
      <c r="J7" s="233" t="s">
        <v>1215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  <c r="V7" s="278" t="s">
        <v>1764</v>
      </c>
      <c r="W7" s="278" t="s">
        <v>1765</v>
      </c>
      <c r="X7" s="278" t="s">
        <v>1767</v>
      </c>
      <c r="Y7" s="278" t="s">
        <v>1766</v>
      </c>
      <c r="Z7" s="277"/>
      <c r="AA7" s="278" t="s">
        <v>1764</v>
      </c>
      <c r="AB7" s="278" t="s">
        <v>1765</v>
      </c>
      <c r="AC7" s="278" t="s">
        <v>1767</v>
      </c>
      <c r="AD7" s="278" t="s">
        <v>1766</v>
      </c>
      <c r="AF7" s="278" t="s">
        <v>1764</v>
      </c>
      <c r="AG7" s="278" t="s">
        <v>1765</v>
      </c>
      <c r="AH7" s="278" t="s">
        <v>1767</v>
      </c>
      <c r="AI7" s="278" t="s">
        <v>1766</v>
      </c>
    </row>
    <row r="8" spans="1:35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IF(Notes!$B$2="June",'AEA Funding and Payments'!$X8,ROUND(N8/10,0))</f>
        <v>14936</v>
      </c>
      <c r="S8" s="221">
        <f>IF(Notes!$B$2="June",'AEA Funding and Payments'!$AC8,ROUND(O8/10,0))</f>
        <v>6512</v>
      </c>
      <c r="T8" s="221">
        <f>SUM(R8:S8)</f>
        <v>21448</v>
      </c>
      <c r="U8" s="237"/>
      <c r="V8" s="279">
        <f>ROUND(N8/10,0)</f>
        <v>14933</v>
      </c>
      <c r="W8" s="280">
        <f>V8*9</f>
        <v>134397</v>
      </c>
      <c r="X8" s="53">
        <f>N8-W8</f>
        <v>14936</v>
      </c>
      <c r="Y8" s="53">
        <f>W8+X8-N8</f>
        <v>0</v>
      </c>
      <c r="AA8" s="279">
        <f>ROUND(O8/10,0)</f>
        <v>6511</v>
      </c>
      <c r="AB8" s="280">
        <f>AA8*9</f>
        <v>58599</v>
      </c>
      <c r="AC8" s="53">
        <f>O8-AB8</f>
        <v>6512</v>
      </c>
      <c r="AD8" s="53">
        <f>AB8+AC8-O8</f>
        <v>0</v>
      </c>
      <c r="AF8" s="279">
        <f>ROUND(L8/10,0)</f>
        <v>2383</v>
      </c>
      <c r="AG8" s="280">
        <f>AF8*9</f>
        <v>21447</v>
      </c>
      <c r="AH8" s="53">
        <f>L8-AG8</f>
        <v>2380</v>
      </c>
      <c r="AI8" s="53">
        <f>AG8+AH8-L8</f>
        <v>0</v>
      </c>
    </row>
    <row r="9" spans="1:35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>IF(Notes!$B$2="June",'AEA Funding and Payments'!$X9,ROUND(N9/10,0))</f>
        <v>6278</v>
      </c>
      <c r="S9" s="221">
        <f>IF(Notes!$B$2="June",'AEA Funding and Payments'!$AC9,ROUND(O9/10,0))</f>
        <v>2355</v>
      </c>
      <c r="T9" s="221">
        <f>SUM(R9:S9)</f>
        <v>8633</v>
      </c>
      <c r="U9" s="237"/>
      <c r="V9" s="279">
        <f t="shared" ref="V9:V72" si="2">ROUND(N9/10,0)</f>
        <v>6282</v>
      </c>
      <c r="W9" s="280">
        <f t="shared" ref="W9:W72" si="3">V9*9</f>
        <v>56538</v>
      </c>
      <c r="X9" s="53">
        <f t="shared" ref="X9:X72" si="4">N9-W9</f>
        <v>6278</v>
      </c>
      <c r="Y9" s="53">
        <f t="shared" ref="Y9:Y72" si="5">W9+X9-N9</f>
        <v>0</v>
      </c>
      <c r="AA9" s="279">
        <f t="shared" ref="AA9:AA72" si="6">ROUND(O9/10,0)</f>
        <v>2352</v>
      </c>
      <c r="AB9" s="280">
        <f t="shared" ref="AB9:AB72" si="7">AA9*9</f>
        <v>21168</v>
      </c>
      <c r="AC9" s="53">
        <f t="shared" ref="AC9:AC72" si="8">O9-AB9</f>
        <v>2355</v>
      </c>
      <c r="AD9" s="53">
        <f t="shared" ref="AD9:AD72" si="9">AB9+AC9-O9</f>
        <v>0</v>
      </c>
      <c r="AF9" s="279">
        <f t="shared" ref="AF9:AF72" si="10">ROUND(L9/10,0)</f>
        <v>959</v>
      </c>
      <c r="AG9" s="280">
        <f t="shared" ref="AG9:AG72" si="11">AF9*9</f>
        <v>8631</v>
      </c>
      <c r="AH9" s="53">
        <f t="shared" ref="AH9:AH72" si="12">L9-AG9</f>
        <v>962</v>
      </c>
      <c r="AI9" s="53">
        <f t="shared" ref="AI9:AI72" si="13">AG9+AH9-L9</f>
        <v>0</v>
      </c>
    </row>
    <row r="10" spans="1:35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>IF(Notes!$B$2="June",'AEA Funding and Payments'!$X10,ROUND(N10/10,0))</f>
        <v>45836</v>
      </c>
      <c r="S10" s="221">
        <f>IF(Notes!$B$2="June",'AEA Funding and Payments'!$AC10,ROUND(O10/10,0))</f>
        <v>15808</v>
      </c>
      <c r="T10" s="221">
        <f t="shared" ref="T10:T72" si="14">SUM(R10:S10)</f>
        <v>61644</v>
      </c>
      <c r="U10" s="237"/>
      <c r="V10" s="279">
        <f t="shared" si="2"/>
        <v>45840</v>
      </c>
      <c r="W10" s="280">
        <f t="shared" si="3"/>
        <v>412560</v>
      </c>
      <c r="X10" s="53">
        <f t="shared" si="4"/>
        <v>45836</v>
      </c>
      <c r="Y10" s="53">
        <f t="shared" si="5"/>
        <v>0</v>
      </c>
      <c r="AA10" s="279">
        <f t="shared" si="6"/>
        <v>15805</v>
      </c>
      <c r="AB10" s="280">
        <f t="shared" si="7"/>
        <v>142245</v>
      </c>
      <c r="AC10" s="53">
        <f t="shared" si="8"/>
        <v>15808</v>
      </c>
      <c r="AD10" s="53">
        <f t="shared" si="9"/>
        <v>0</v>
      </c>
      <c r="AF10" s="279">
        <f t="shared" si="10"/>
        <v>6849</v>
      </c>
      <c r="AG10" s="280">
        <f t="shared" si="11"/>
        <v>61641</v>
      </c>
      <c r="AH10" s="53">
        <f t="shared" si="12"/>
        <v>6853</v>
      </c>
      <c r="AI10" s="53">
        <f t="shared" si="13"/>
        <v>0</v>
      </c>
    </row>
    <row r="11" spans="1:35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>IF(Notes!$B$2="June",'AEA Funding and Payments'!$X11,ROUND(N11/10,0))</f>
        <v>11255</v>
      </c>
      <c r="S11" s="221">
        <f>IF(Notes!$B$2="June",'AEA Funding and Payments'!$AC11,ROUND(O11/10,0))</f>
        <v>4914</v>
      </c>
      <c r="T11" s="221">
        <f t="shared" si="14"/>
        <v>16169</v>
      </c>
      <c r="U11" s="237"/>
      <c r="V11" s="279">
        <f t="shared" si="2"/>
        <v>11257</v>
      </c>
      <c r="W11" s="280">
        <f t="shared" si="3"/>
        <v>101313</v>
      </c>
      <c r="X11" s="53">
        <f t="shared" si="4"/>
        <v>11255</v>
      </c>
      <c r="Y11" s="53">
        <f t="shared" si="5"/>
        <v>0</v>
      </c>
      <c r="AA11" s="279">
        <f t="shared" si="6"/>
        <v>4919</v>
      </c>
      <c r="AB11" s="280">
        <f t="shared" si="7"/>
        <v>44271</v>
      </c>
      <c r="AC11" s="53">
        <f t="shared" si="8"/>
        <v>4914</v>
      </c>
      <c r="AD11" s="53">
        <f t="shared" si="9"/>
        <v>0</v>
      </c>
      <c r="AF11" s="279">
        <f t="shared" si="10"/>
        <v>1797</v>
      </c>
      <c r="AG11" s="280">
        <f t="shared" si="11"/>
        <v>16173</v>
      </c>
      <c r="AH11" s="53">
        <f t="shared" si="12"/>
        <v>1800</v>
      </c>
      <c r="AI11" s="53">
        <f t="shared" si="13"/>
        <v>0</v>
      </c>
    </row>
    <row r="12" spans="1:35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>IF(Notes!$B$2="June",'AEA Funding and Payments'!$X12,ROUND(N12/10,0))</f>
        <v>4303</v>
      </c>
      <c r="S12" s="221">
        <f>IF(Notes!$B$2="June",'AEA Funding and Payments'!$AC12,ROUND(O12/10,0))</f>
        <v>1912</v>
      </c>
      <c r="T12" s="221">
        <f t="shared" si="14"/>
        <v>6215</v>
      </c>
      <c r="U12" s="237"/>
      <c r="V12" s="279">
        <f t="shared" si="2"/>
        <v>4306</v>
      </c>
      <c r="W12" s="280">
        <f t="shared" si="3"/>
        <v>38754</v>
      </c>
      <c r="X12" s="53">
        <f t="shared" si="4"/>
        <v>4303</v>
      </c>
      <c r="Y12" s="53">
        <f t="shared" si="5"/>
        <v>0</v>
      </c>
      <c r="AA12" s="279">
        <f t="shared" si="6"/>
        <v>1914</v>
      </c>
      <c r="AB12" s="280">
        <f t="shared" si="7"/>
        <v>17226</v>
      </c>
      <c r="AC12" s="53">
        <f t="shared" si="8"/>
        <v>1912</v>
      </c>
      <c r="AD12" s="53">
        <f t="shared" si="9"/>
        <v>0</v>
      </c>
      <c r="AF12" s="279">
        <f t="shared" si="10"/>
        <v>691</v>
      </c>
      <c r="AG12" s="280">
        <f t="shared" si="11"/>
        <v>6219</v>
      </c>
      <c r="AH12" s="53">
        <f t="shared" si="12"/>
        <v>692</v>
      </c>
      <c r="AI12" s="53">
        <f t="shared" si="13"/>
        <v>0</v>
      </c>
    </row>
    <row r="13" spans="1:35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>IF(Notes!$B$2="June",'AEA Funding and Payments'!$X13,ROUND(N13/10,0))</f>
        <v>22797</v>
      </c>
      <c r="S13" s="221">
        <f>IF(Notes!$B$2="June",'AEA Funding and Payments'!$AC13,ROUND(O13/10,0))</f>
        <v>8541</v>
      </c>
      <c r="T13" s="221">
        <f t="shared" si="14"/>
        <v>31338</v>
      </c>
      <c r="U13" s="237"/>
      <c r="V13" s="279">
        <f t="shared" si="2"/>
        <v>22801</v>
      </c>
      <c r="W13" s="280">
        <f t="shared" si="3"/>
        <v>205209</v>
      </c>
      <c r="X13" s="53">
        <f t="shared" si="4"/>
        <v>22797</v>
      </c>
      <c r="Y13" s="53">
        <f t="shared" si="5"/>
        <v>0</v>
      </c>
      <c r="AA13" s="279">
        <f t="shared" si="6"/>
        <v>8541</v>
      </c>
      <c r="AB13" s="280">
        <f t="shared" si="7"/>
        <v>76869</v>
      </c>
      <c r="AC13" s="53">
        <f t="shared" si="8"/>
        <v>8541</v>
      </c>
      <c r="AD13" s="53">
        <f t="shared" si="9"/>
        <v>0</v>
      </c>
      <c r="AF13" s="279">
        <f t="shared" si="10"/>
        <v>3482</v>
      </c>
      <c r="AG13" s="280">
        <f t="shared" si="11"/>
        <v>31338</v>
      </c>
      <c r="AH13" s="53">
        <f t="shared" si="12"/>
        <v>3486</v>
      </c>
      <c r="AI13" s="53">
        <f t="shared" si="13"/>
        <v>0</v>
      </c>
    </row>
    <row r="14" spans="1:35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>IF(Notes!$B$2="June",'AEA Funding and Payments'!$X14,ROUND(N14/10,0))</f>
        <v>11012</v>
      </c>
      <c r="S14" s="221">
        <f>IF(Notes!$B$2="June",'AEA Funding and Payments'!$AC14,ROUND(O14/10,0))</f>
        <v>4228</v>
      </c>
      <c r="T14" s="221">
        <f t="shared" si="14"/>
        <v>15240</v>
      </c>
      <c r="U14" s="237"/>
      <c r="V14" s="279">
        <f t="shared" si="2"/>
        <v>11012</v>
      </c>
      <c r="W14" s="280">
        <f t="shared" si="3"/>
        <v>99108</v>
      </c>
      <c r="X14" s="53">
        <f t="shared" si="4"/>
        <v>11012</v>
      </c>
      <c r="Y14" s="53">
        <f t="shared" si="5"/>
        <v>0</v>
      </c>
      <c r="AA14" s="279">
        <f t="shared" si="6"/>
        <v>4227</v>
      </c>
      <c r="AB14" s="280">
        <f t="shared" si="7"/>
        <v>38043</v>
      </c>
      <c r="AC14" s="53">
        <f t="shared" si="8"/>
        <v>4228</v>
      </c>
      <c r="AD14" s="53">
        <f t="shared" si="9"/>
        <v>0</v>
      </c>
      <c r="AF14" s="279">
        <f t="shared" si="10"/>
        <v>1693</v>
      </c>
      <c r="AG14" s="280">
        <f t="shared" si="11"/>
        <v>15237</v>
      </c>
      <c r="AH14" s="53">
        <f t="shared" si="12"/>
        <v>1695</v>
      </c>
      <c r="AI14" s="53">
        <f t="shared" si="13"/>
        <v>0</v>
      </c>
    </row>
    <row r="15" spans="1:35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>IF(Notes!$B$2="June",'AEA Funding and Payments'!$X15,ROUND(N15/10,0))</f>
        <v>4972</v>
      </c>
      <c r="S15" s="221">
        <f>IF(Notes!$B$2="June",'AEA Funding and Payments'!$AC15,ROUND(O15/10,0))</f>
        <v>2603</v>
      </c>
      <c r="T15" s="221">
        <f t="shared" si="14"/>
        <v>7575</v>
      </c>
      <c r="U15" s="237"/>
      <c r="V15" s="279">
        <f t="shared" si="2"/>
        <v>4969</v>
      </c>
      <c r="W15" s="280">
        <f t="shared" si="3"/>
        <v>44721</v>
      </c>
      <c r="X15" s="53">
        <f t="shared" si="4"/>
        <v>4972</v>
      </c>
      <c r="Y15" s="53">
        <f t="shared" si="5"/>
        <v>0</v>
      </c>
      <c r="AA15" s="279">
        <f t="shared" si="6"/>
        <v>2601</v>
      </c>
      <c r="AB15" s="280">
        <f t="shared" si="7"/>
        <v>23409</v>
      </c>
      <c r="AC15" s="53">
        <f t="shared" si="8"/>
        <v>2603</v>
      </c>
      <c r="AD15" s="53">
        <f t="shared" si="9"/>
        <v>0</v>
      </c>
      <c r="AF15" s="279">
        <f t="shared" si="10"/>
        <v>841</v>
      </c>
      <c r="AG15" s="280">
        <f t="shared" si="11"/>
        <v>7569</v>
      </c>
      <c r="AH15" s="53">
        <f t="shared" si="12"/>
        <v>843</v>
      </c>
      <c r="AI15" s="53">
        <f t="shared" si="13"/>
        <v>0</v>
      </c>
    </row>
    <row r="16" spans="1:35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>IF(Notes!$B$2="June",'AEA Funding and Payments'!$X16,ROUND(N16/10,0))</f>
        <v>30549</v>
      </c>
      <c r="S16" s="221">
        <f>IF(Notes!$B$2="June",'AEA Funding and Payments'!$AC16,ROUND(O16/10,0))</f>
        <v>13577</v>
      </c>
      <c r="T16" s="221">
        <f t="shared" si="14"/>
        <v>44126</v>
      </c>
      <c r="U16" s="237"/>
      <c r="V16" s="279">
        <f t="shared" si="2"/>
        <v>30554</v>
      </c>
      <c r="W16" s="280">
        <f t="shared" si="3"/>
        <v>274986</v>
      </c>
      <c r="X16" s="53">
        <f t="shared" si="4"/>
        <v>30549</v>
      </c>
      <c r="Y16" s="53">
        <f t="shared" si="5"/>
        <v>0</v>
      </c>
      <c r="AA16" s="279">
        <f t="shared" si="6"/>
        <v>13581</v>
      </c>
      <c r="AB16" s="280">
        <f t="shared" si="7"/>
        <v>122229</v>
      </c>
      <c r="AC16" s="53">
        <f t="shared" si="8"/>
        <v>13577</v>
      </c>
      <c r="AD16" s="53">
        <f t="shared" si="9"/>
        <v>0</v>
      </c>
      <c r="AF16" s="279">
        <f t="shared" si="10"/>
        <v>4904</v>
      </c>
      <c r="AG16" s="280">
        <f t="shared" si="11"/>
        <v>44136</v>
      </c>
      <c r="AH16" s="53">
        <f t="shared" si="12"/>
        <v>4902</v>
      </c>
      <c r="AI16" s="53">
        <f t="shared" si="13"/>
        <v>0</v>
      </c>
    </row>
    <row r="17" spans="1:35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>IF(Notes!$B$2="June",'AEA Funding and Payments'!$X17,ROUND(N17/10,0))</f>
        <v>23772</v>
      </c>
      <c r="S17" s="221">
        <f>IF(Notes!$B$2="June",'AEA Funding and Payments'!$AC17,ROUND(O17/10,0))</f>
        <v>11135</v>
      </c>
      <c r="T17" s="221">
        <f t="shared" si="14"/>
        <v>34907</v>
      </c>
      <c r="U17" s="237"/>
      <c r="V17" s="279">
        <f t="shared" si="2"/>
        <v>23774</v>
      </c>
      <c r="W17" s="280">
        <f t="shared" si="3"/>
        <v>213966</v>
      </c>
      <c r="X17" s="53">
        <f t="shared" si="4"/>
        <v>23772</v>
      </c>
      <c r="Y17" s="53">
        <f t="shared" si="5"/>
        <v>0</v>
      </c>
      <c r="AA17" s="279">
        <f t="shared" si="6"/>
        <v>11133</v>
      </c>
      <c r="AB17" s="280">
        <f t="shared" si="7"/>
        <v>100197</v>
      </c>
      <c r="AC17" s="53">
        <f t="shared" si="8"/>
        <v>11135</v>
      </c>
      <c r="AD17" s="53">
        <f t="shared" si="9"/>
        <v>0</v>
      </c>
      <c r="AF17" s="279">
        <f t="shared" si="10"/>
        <v>3879</v>
      </c>
      <c r="AG17" s="280">
        <f t="shared" si="11"/>
        <v>34911</v>
      </c>
      <c r="AH17" s="53">
        <f t="shared" si="12"/>
        <v>3875</v>
      </c>
      <c r="AI17" s="53">
        <f t="shared" si="13"/>
        <v>0</v>
      </c>
    </row>
    <row r="18" spans="1:35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>IF(Notes!$B$2="June",'AEA Funding and Payments'!$X18,ROUND(N18/10,0))</f>
        <v>11412</v>
      </c>
      <c r="S18" s="221">
        <f>IF(Notes!$B$2="June",'AEA Funding and Payments'!$AC18,ROUND(O18/10,0))</f>
        <v>4653</v>
      </c>
      <c r="T18" s="221">
        <f t="shared" si="14"/>
        <v>16065</v>
      </c>
      <c r="U18" s="237"/>
      <c r="V18" s="279">
        <f t="shared" si="2"/>
        <v>11417</v>
      </c>
      <c r="W18" s="280">
        <f t="shared" si="3"/>
        <v>102753</v>
      </c>
      <c r="X18" s="53">
        <f t="shared" si="4"/>
        <v>11412</v>
      </c>
      <c r="Y18" s="53">
        <f t="shared" si="5"/>
        <v>0</v>
      </c>
      <c r="AA18" s="279">
        <f t="shared" si="6"/>
        <v>4653</v>
      </c>
      <c r="AB18" s="280">
        <f t="shared" si="7"/>
        <v>41877</v>
      </c>
      <c r="AC18" s="53">
        <f t="shared" si="8"/>
        <v>4653</v>
      </c>
      <c r="AD18" s="53">
        <f t="shared" si="9"/>
        <v>0</v>
      </c>
      <c r="AF18" s="279">
        <f t="shared" si="10"/>
        <v>1786</v>
      </c>
      <c r="AG18" s="280">
        <f t="shared" si="11"/>
        <v>16074</v>
      </c>
      <c r="AH18" s="53">
        <f t="shared" si="12"/>
        <v>1781</v>
      </c>
      <c r="AI18" s="53">
        <f t="shared" si="13"/>
        <v>0</v>
      </c>
    </row>
    <row r="19" spans="1:35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>IF(Notes!$B$2="June",'AEA Funding and Payments'!$X19,ROUND(N19/10,0))</f>
        <v>17406</v>
      </c>
      <c r="S19" s="221">
        <f>IF(Notes!$B$2="June",'AEA Funding and Payments'!$AC19,ROUND(O19/10,0))</f>
        <v>7739</v>
      </c>
      <c r="T19" s="221">
        <f t="shared" si="14"/>
        <v>25145</v>
      </c>
      <c r="U19" s="237"/>
      <c r="V19" s="279">
        <f t="shared" si="2"/>
        <v>17407</v>
      </c>
      <c r="W19" s="280">
        <f t="shared" si="3"/>
        <v>156663</v>
      </c>
      <c r="X19" s="53">
        <f t="shared" si="4"/>
        <v>17406</v>
      </c>
      <c r="Y19" s="53">
        <f t="shared" si="5"/>
        <v>0</v>
      </c>
      <c r="AA19" s="279">
        <f t="shared" si="6"/>
        <v>7737</v>
      </c>
      <c r="AB19" s="280">
        <f t="shared" si="7"/>
        <v>69633</v>
      </c>
      <c r="AC19" s="53">
        <f t="shared" si="8"/>
        <v>7739</v>
      </c>
      <c r="AD19" s="53">
        <f t="shared" si="9"/>
        <v>0</v>
      </c>
      <c r="AF19" s="279">
        <f t="shared" si="10"/>
        <v>2794</v>
      </c>
      <c r="AG19" s="280">
        <f t="shared" si="11"/>
        <v>25146</v>
      </c>
      <c r="AH19" s="53">
        <f t="shared" si="12"/>
        <v>2792</v>
      </c>
      <c r="AI19" s="53">
        <f t="shared" si="13"/>
        <v>0</v>
      </c>
    </row>
    <row r="20" spans="1:35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>IF(Notes!$B$2="June",'AEA Funding and Payments'!$X20,ROUND(N20/10,0))</f>
        <v>97798</v>
      </c>
      <c r="S20" s="221">
        <f>IF(Notes!$B$2="June",'AEA Funding and Payments'!$AC20,ROUND(O20/10,0))</f>
        <v>33715</v>
      </c>
      <c r="T20" s="221">
        <f t="shared" si="14"/>
        <v>131513</v>
      </c>
      <c r="U20" s="237"/>
      <c r="V20" s="279">
        <f t="shared" si="2"/>
        <v>97795</v>
      </c>
      <c r="W20" s="280">
        <f t="shared" si="3"/>
        <v>880155</v>
      </c>
      <c r="X20" s="53">
        <f t="shared" si="4"/>
        <v>97798</v>
      </c>
      <c r="Y20" s="53">
        <f t="shared" si="5"/>
        <v>0</v>
      </c>
      <c r="AA20" s="279">
        <f t="shared" si="6"/>
        <v>33720</v>
      </c>
      <c r="AB20" s="280">
        <f t="shared" si="7"/>
        <v>303480</v>
      </c>
      <c r="AC20" s="53">
        <f t="shared" si="8"/>
        <v>33715</v>
      </c>
      <c r="AD20" s="53">
        <f t="shared" si="9"/>
        <v>0</v>
      </c>
      <c r="AF20" s="279">
        <f t="shared" si="10"/>
        <v>14613</v>
      </c>
      <c r="AG20" s="280">
        <f t="shared" si="11"/>
        <v>131517</v>
      </c>
      <c r="AH20" s="53">
        <f t="shared" si="12"/>
        <v>14611</v>
      </c>
      <c r="AI20" s="53">
        <f t="shared" si="13"/>
        <v>0</v>
      </c>
    </row>
    <row r="21" spans="1:35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>IF(Notes!$B$2="June",'AEA Funding and Payments'!$X21,ROUND(N21/10,0))</f>
        <v>24583</v>
      </c>
      <c r="S21" s="221">
        <f>IF(Notes!$B$2="June",'AEA Funding and Payments'!$AC21,ROUND(O21/10,0))</f>
        <v>11080</v>
      </c>
      <c r="T21" s="221">
        <f t="shared" si="14"/>
        <v>35663</v>
      </c>
      <c r="U21" s="237"/>
      <c r="V21" s="279">
        <f t="shared" si="2"/>
        <v>24588</v>
      </c>
      <c r="W21" s="280">
        <f t="shared" si="3"/>
        <v>221292</v>
      </c>
      <c r="X21" s="53">
        <f t="shared" si="4"/>
        <v>24583</v>
      </c>
      <c r="Y21" s="53">
        <f t="shared" si="5"/>
        <v>0</v>
      </c>
      <c r="AA21" s="279">
        <f t="shared" si="6"/>
        <v>11080</v>
      </c>
      <c r="AB21" s="280">
        <f t="shared" si="7"/>
        <v>99720</v>
      </c>
      <c r="AC21" s="53">
        <f t="shared" si="8"/>
        <v>11080</v>
      </c>
      <c r="AD21" s="53">
        <f t="shared" si="9"/>
        <v>0</v>
      </c>
      <c r="AF21" s="279">
        <f t="shared" si="10"/>
        <v>3963</v>
      </c>
      <c r="AG21" s="280">
        <f t="shared" si="11"/>
        <v>35667</v>
      </c>
      <c r="AH21" s="53">
        <f t="shared" si="12"/>
        <v>3964</v>
      </c>
      <c r="AI21" s="53">
        <f t="shared" si="13"/>
        <v>0</v>
      </c>
    </row>
    <row r="22" spans="1:35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>IF(Notes!$B$2="June",'AEA Funding and Payments'!$X22,ROUND(N22/10,0))</f>
        <v>4572</v>
      </c>
      <c r="S22" s="221">
        <f>IF(Notes!$B$2="June",'AEA Funding and Payments'!$AC22,ROUND(O22/10,0))</f>
        <v>2512</v>
      </c>
      <c r="T22" s="221">
        <f t="shared" si="14"/>
        <v>7084</v>
      </c>
      <c r="U22" s="237"/>
      <c r="V22" s="279">
        <f t="shared" si="2"/>
        <v>4569</v>
      </c>
      <c r="W22" s="280">
        <f t="shared" si="3"/>
        <v>41121</v>
      </c>
      <c r="X22" s="53">
        <f t="shared" si="4"/>
        <v>4572</v>
      </c>
      <c r="Y22" s="53">
        <f t="shared" si="5"/>
        <v>0</v>
      </c>
      <c r="AA22" s="279">
        <f t="shared" si="6"/>
        <v>2517</v>
      </c>
      <c r="AB22" s="280">
        <f t="shared" si="7"/>
        <v>22653</v>
      </c>
      <c r="AC22" s="53">
        <f t="shared" si="8"/>
        <v>2512</v>
      </c>
      <c r="AD22" s="53">
        <f t="shared" si="9"/>
        <v>0</v>
      </c>
      <c r="AF22" s="279">
        <f t="shared" si="10"/>
        <v>787</v>
      </c>
      <c r="AG22" s="280">
        <f t="shared" si="11"/>
        <v>7083</v>
      </c>
      <c r="AH22" s="53">
        <f t="shared" si="12"/>
        <v>790</v>
      </c>
      <c r="AI22" s="53">
        <f t="shared" si="13"/>
        <v>0</v>
      </c>
    </row>
    <row r="23" spans="1:35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>IF(Notes!$B$2="June",'AEA Funding and Payments'!$X23,ROUND(N23/10,0))</f>
        <v>267473</v>
      </c>
      <c r="S23" s="221">
        <f>IF(Notes!$B$2="June",'AEA Funding and Payments'!$AC23,ROUND(O23/10,0))</f>
        <v>92223</v>
      </c>
      <c r="T23" s="221">
        <f t="shared" si="14"/>
        <v>359696</v>
      </c>
      <c r="U23" s="237"/>
      <c r="V23" s="279">
        <f t="shared" si="2"/>
        <v>267470</v>
      </c>
      <c r="W23" s="280">
        <f t="shared" si="3"/>
        <v>2407230</v>
      </c>
      <c r="X23" s="53">
        <f t="shared" si="4"/>
        <v>267473</v>
      </c>
      <c r="Y23" s="53">
        <f t="shared" si="5"/>
        <v>0</v>
      </c>
      <c r="AA23" s="279">
        <f t="shared" si="6"/>
        <v>92223</v>
      </c>
      <c r="AB23" s="280">
        <f t="shared" si="7"/>
        <v>830007</v>
      </c>
      <c r="AC23" s="53">
        <f t="shared" si="8"/>
        <v>92223</v>
      </c>
      <c r="AD23" s="53">
        <f t="shared" si="9"/>
        <v>0</v>
      </c>
      <c r="AF23" s="279">
        <f t="shared" si="10"/>
        <v>39966</v>
      </c>
      <c r="AG23" s="280">
        <f t="shared" si="11"/>
        <v>359694</v>
      </c>
      <c r="AH23" s="53">
        <f t="shared" si="12"/>
        <v>39965</v>
      </c>
      <c r="AI23" s="53">
        <f t="shared" si="13"/>
        <v>0</v>
      </c>
    </row>
    <row r="24" spans="1:35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>IF(Notes!$B$2="June",'AEA Funding and Payments'!$X24,ROUND(N24/10,0))</f>
        <v>17095</v>
      </c>
      <c r="S24" s="221">
        <f>IF(Notes!$B$2="June",'AEA Funding and Payments'!$AC24,ROUND(O24/10,0))</f>
        <v>6971</v>
      </c>
      <c r="T24" s="221">
        <f t="shared" si="14"/>
        <v>24066</v>
      </c>
      <c r="U24" s="237"/>
      <c r="V24" s="279">
        <f t="shared" si="2"/>
        <v>17100</v>
      </c>
      <c r="W24" s="280">
        <f t="shared" si="3"/>
        <v>153900</v>
      </c>
      <c r="X24" s="53">
        <f t="shared" si="4"/>
        <v>17095</v>
      </c>
      <c r="Y24" s="53">
        <f t="shared" si="5"/>
        <v>0</v>
      </c>
      <c r="AA24" s="279">
        <f t="shared" si="6"/>
        <v>6969</v>
      </c>
      <c r="AB24" s="280">
        <f t="shared" si="7"/>
        <v>62721</v>
      </c>
      <c r="AC24" s="53">
        <f t="shared" si="8"/>
        <v>6971</v>
      </c>
      <c r="AD24" s="53">
        <f t="shared" si="9"/>
        <v>0</v>
      </c>
      <c r="AF24" s="279">
        <f t="shared" si="10"/>
        <v>2674</v>
      </c>
      <c r="AG24" s="280">
        <f t="shared" si="11"/>
        <v>24066</v>
      </c>
      <c r="AH24" s="53">
        <f t="shared" si="12"/>
        <v>2677</v>
      </c>
      <c r="AI24" s="53">
        <f t="shared" si="13"/>
        <v>0</v>
      </c>
    </row>
    <row r="25" spans="1:35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>IF(Notes!$B$2="June",'AEA Funding and Payments'!$X25,ROUND(N25/10,0))</f>
        <v>8065</v>
      </c>
      <c r="S25" s="221">
        <f>IF(Notes!$B$2="June",'AEA Funding and Payments'!$AC25,ROUND(O25/10,0))</f>
        <v>4917</v>
      </c>
      <c r="T25" s="221">
        <f t="shared" si="14"/>
        <v>12982</v>
      </c>
      <c r="U25" s="237"/>
      <c r="V25" s="279">
        <f t="shared" si="2"/>
        <v>8067</v>
      </c>
      <c r="W25" s="280">
        <f t="shared" si="3"/>
        <v>72603</v>
      </c>
      <c r="X25" s="53">
        <f t="shared" si="4"/>
        <v>8065</v>
      </c>
      <c r="Y25" s="53">
        <f t="shared" si="5"/>
        <v>0</v>
      </c>
      <c r="AA25" s="279">
        <f t="shared" si="6"/>
        <v>4922</v>
      </c>
      <c r="AB25" s="280">
        <f t="shared" si="7"/>
        <v>44298</v>
      </c>
      <c r="AC25" s="53">
        <f t="shared" si="8"/>
        <v>4917</v>
      </c>
      <c r="AD25" s="53">
        <f t="shared" si="9"/>
        <v>0</v>
      </c>
      <c r="AF25" s="279">
        <f t="shared" si="10"/>
        <v>1443</v>
      </c>
      <c r="AG25" s="280">
        <f t="shared" si="11"/>
        <v>12987</v>
      </c>
      <c r="AH25" s="53">
        <f t="shared" si="12"/>
        <v>1444</v>
      </c>
      <c r="AI25" s="53">
        <f t="shared" si="13"/>
        <v>0</v>
      </c>
    </row>
    <row r="26" spans="1:35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>IF(Notes!$B$2="June",'AEA Funding and Payments'!$X26,ROUND(N26/10,0))</f>
        <v>5841</v>
      </c>
      <c r="S26" s="221">
        <f>IF(Notes!$B$2="June",'AEA Funding and Payments'!$AC26,ROUND(O26/10,0))</f>
        <v>2997</v>
      </c>
      <c r="T26" s="221">
        <f t="shared" si="14"/>
        <v>8838</v>
      </c>
      <c r="U26" s="237"/>
      <c r="V26" s="279">
        <f t="shared" si="2"/>
        <v>5837</v>
      </c>
      <c r="W26" s="280">
        <f t="shared" si="3"/>
        <v>52533</v>
      </c>
      <c r="X26" s="53">
        <f t="shared" si="4"/>
        <v>5841</v>
      </c>
      <c r="Y26" s="53">
        <f t="shared" si="5"/>
        <v>0</v>
      </c>
      <c r="AA26" s="279">
        <f t="shared" si="6"/>
        <v>2994</v>
      </c>
      <c r="AB26" s="280">
        <f t="shared" si="7"/>
        <v>26946</v>
      </c>
      <c r="AC26" s="53">
        <f t="shared" si="8"/>
        <v>2997</v>
      </c>
      <c r="AD26" s="53">
        <f t="shared" si="9"/>
        <v>0</v>
      </c>
      <c r="AF26" s="279">
        <f t="shared" si="10"/>
        <v>981</v>
      </c>
      <c r="AG26" s="280">
        <f t="shared" si="11"/>
        <v>8829</v>
      </c>
      <c r="AH26" s="53">
        <f t="shared" si="12"/>
        <v>984</v>
      </c>
      <c r="AI26" s="53">
        <f t="shared" si="13"/>
        <v>0</v>
      </c>
    </row>
    <row r="27" spans="1:35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>IF(Notes!$B$2="June",'AEA Funding and Payments'!$X27,ROUND(N27/10,0))</f>
        <v>32162</v>
      </c>
      <c r="S27" s="221">
        <f>IF(Notes!$B$2="June",'AEA Funding and Payments'!$AC27,ROUND(O27/10,0))</f>
        <v>12518</v>
      </c>
      <c r="T27" s="221">
        <f t="shared" si="14"/>
        <v>44680</v>
      </c>
      <c r="U27" s="237"/>
      <c r="V27" s="279">
        <f t="shared" si="2"/>
        <v>32158</v>
      </c>
      <c r="W27" s="280">
        <f t="shared" si="3"/>
        <v>289422</v>
      </c>
      <c r="X27" s="53">
        <f t="shared" si="4"/>
        <v>32162</v>
      </c>
      <c r="Y27" s="53">
        <f t="shared" si="5"/>
        <v>0</v>
      </c>
      <c r="AA27" s="279">
        <f t="shared" si="6"/>
        <v>12515</v>
      </c>
      <c r="AB27" s="280">
        <f t="shared" si="7"/>
        <v>112635</v>
      </c>
      <c r="AC27" s="53">
        <f t="shared" si="8"/>
        <v>12518</v>
      </c>
      <c r="AD27" s="53">
        <f t="shared" si="9"/>
        <v>0</v>
      </c>
      <c r="AF27" s="279">
        <f t="shared" si="10"/>
        <v>4964</v>
      </c>
      <c r="AG27" s="280">
        <f t="shared" si="11"/>
        <v>44676</v>
      </c>
      <c r="AH27" s="53">
        <f t="shared" si="12"/>
        <v>4962</v>
      </c>
      <c r="AI27" s="53">
        <f t="shared" si="13"/>
        <v>0</v>
      </c>
    </row>
    <row r="28" spans="1:35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>IF(Notes!$B$2="June",'AEA Funding and Payments'!$X28,ROUND(N28/10,0))</f>
        <v>10468</v>
      </c>
      <c r="S28" s="221">
        <f>IF(Notes!$B$2="June",'AEA Funding and Payments'!$AC28,ROUND(O28/10,0))</f>
        <v>3946</v>
      </c>
      <c r="T28" s="221">
        <f t="shared" si="14"/>
        <v>14414</v>
      </c>
      <c r="U28" s="237"/>
      <c r="V28" s="279">
        <f t="shared" si="2"/>
        <v>10469</v>
      </c>
      <c r="W28" s="280">
        <f t="shared" si="3"/>
        <v>94221</v>
      </c>
      <c r="X28" s="53">
        <f t="shared" si="4"/>
        <v>10468</v>
      </c>
      <c r="Y28" s="53">
        <f t="shared" si="5"/>
        <v>0</v>
      </c>
      <c r="AA28" s="279">
        <f t="shared" si="6"/>
        <v>3948</v>
      </c>
      <c r="AB28" s="280">
        <f t="shared" si="7"/>
        <v>35532</v>
      </c>
      <c r="AC28" s="53">
        <f t="shared" si="8"/>
        <v>3946</v>
      </c>
      <c r="AD28" s="53">
        <f t="shared" si="9"/>
        <v>0</v>
      </c>
      <c r="AF28" s="279">
        <f t="shared" si="10"/>
        <v>1602</v>
      </c>
      <c r="AG28" s="280">
        <f t="shared" si="11"/>
        <v>14418</v>
      </c>
      <c r="AH28" s="53">
        <f t="shared" si="12"/>
        <v>1601</v>
      </c>
      <c r="AI28" s="53">
        <f t="shared" si="13"/>
        <v>0</v>
      </c>
    </row>
    <row r="29" spans="1:35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>IF(Notes!$B$2="June",'AEA Funding and Payments'!$X29,ROUND(N29/10,0))</f>
        <v>16753</v>
      </c>
      <c r="S29" s="221">
        <f>IF(Notes!$B$2="June",'AEA Funding and Payments'!$AC29,ROUND(O29/10,0))</f>
        <v>6516</v>
      </c>
      <c r="T29" s="221">
        <f t="shared" si="14"/>
        <v>23269</v>
      </c>
      <c r="U29" s="237"/>
      <c r="V29" s="279">
        <f t="shared" si="2"/>
        <v>16755</v>
      </c>
      <c r="W29" s="280">
        <f t="shared" si="3"/>
        <v>150795</v>
      </c>
      <c r="X29" s="53">
        <f t="shared" si="4"/>
        <v>16753</v>
      </c>
      <c r="Y29" s="53">
        <f t="shared" si="5"/>
        <v>0</v>
      </c>
      <c r="AA29" s="279">
        <f t="shared" si="6"/>
        <v>6521</v>
      </c>
      <c r="AB29" s="280">
        <f t="shared" si="7"/>
        <v>58689</v>
      </c>
      <c r="AC29" s="53">
        <f t="shared" si="8"/>
        <v>6516</v>
      </c>
      <c r="AD29" s="53">
        <f t="shared" si="9"/>
        <v>0</v>
      </c>
      <c r="AF29" s="279">
        <f t="shared" si="10"/>
        <v>2586</v>
      </c>
      <c r="AG29" s="280">
        <f t="shared" si="11"/>
        <v>23274</v>
      </c>
      <c r="AH29" s="53">
        <f t="shared" si="12"/>
        <v>2588</v>
      </c>
      <c r="AI29" s="53">
        <f t="shared" si="13"/>
        <v>0</v>
      </c>
    </row>
    <row r="30" spans="1:35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>IF(Notes!$B$2="June",'AEA Funding and Payments'!$X30,ROUND(N30/10,0))</f>
        <v>36643</v>
      </c>
      <c r="S30" s="221">
        <f>IF(Notes!$B$2="June",'AEA Funding and Payments'!$AC30,ROUND(O30/10,0))</f>
        <v>12632</v>
      </c>
      <c r="T30" s="221">
        <f t="shared" si="14"/>
        <v>49275</v>
      </c>
      <c r="U30" s="237"/>
      <c r="V30" s="279">
        <f t="shared" si="2"/>
        <v>36641</v>
      </c>
      <c r="W30" s="280">
        <f t="shared" si="3"/>
        <v>329769</v>
      </c>
      <c r="X30" s="53">
        <f t="shared" si="4"/>
        <v>36643</v>
      </c>
      <c r="Y30" s="53">
        <f t="shared" si="5"/>
        <v>0</v>
      </c>
      <c r="AA30" s="279">
        <f t="shared" si="6"/>
        <v>12634</v>
      </c>
      <c r="AB30" s="280">
        <f t="shared" si="7"/>
        <v>113706</v>
      </c>
      <c r="AC30" s="53">
        <f t="shared" si="8"/>
        <v>12632</v>
      </c>
      <c r="AD30" s="53">
        <f t="shared" si="9"/>
        <v>0</v>
      </c>
      <c r="AF30" s="279">
        <f t="shared" si="10"/>
        <v>5475</v>
      </c>
      <c r="AG30" s="280">
        <f t="shared" si="11"/>
        <v>49275</v>
      </c>
      <c r="AH30" s="53">
        <f t="shared" si="12"/>
        <v>5475</v>
      </c>
      <c r="AI30" s="53">
        <f t="shared" si="13"/>
        <v>0</v>
      </c>
    </row>
    <row r="31" spans="1:35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>IF(Notes!$B$2="June",'AEA Funding and Payments'!$X31,ROUND(N31/10,0))</f>
        <v>7136</v>
      </c>
      <c r="S31" s="221">
        <f>IF(Notes!$B$2="June",'AEA Funding and Payments'!$AC31,ROUND(O31/10,0))</f>
        <v>2498</v>
      </c>
      <c r="T31" s="221">
        <f t="shared" si="14"/>
        <v>9634</v>
      </c>
      <c r="U31" s="237"/>
      <c r="V31" s="279">
        <f t="shared" si="2"/>
        <v>7140</v>
      </c>
      <c r="W31" s="280">
        <f t="shared" si="3"/>
        <v>64260</v>
      </c>
      <c r="X31" s="53">
        <f t="shared" si="4"/>
        <v>7136</v>
      </c>
      <c r="Y31" s="53">
        <f t="shared" si="5"/>
        <v>0</v>
      </c>
      <c r="AA31" s="279">
        <f t="shared" si="6"/>
        <v>2499</v>
      </c>
      <c r="AB31" s="280">
        <f t="shared" si="7"/>
        <v>22491</v>
      </c>
      <c r="AC31" s="53">
        <f t="shared" si="8"/>
        <v>2498</v>
      </c>
      <c r="AD31" s="53">
        <f t="shared" si="9"/>
        <v>0</v>
      </c>
      <c r="AF31" s="279">
        <f t="shared" si="10"/>
        <v>1071</v>
      </c>
      <c r="AG31" s="280">
        <f t="shared" si="11"/>
        <v>9639</v>
      </c>
      <c r="AH31" s="53">
        <f t="shared" si="12"/>
        <v>1070</v>
      </c>
      <c r="AI31" s="53">
        <f t="shared" si="13"/>
        <v>0</v>
      </c>
    </row>
    <row r="32" spans="1:35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>IF(Notes!$B$2="June",'AEA Funding and Payments'!$X32,ROUND(N32/10,0))</f>
        <v>9446</v>
      </c>
      <c r="S32" s="221">
        <f>IF(Notes!$B$2="June",'AEA Funding and Payments'!$AC32,ROUND(O32/10,0))</f>
        <v>4645</v>
      </c>
      <c r="T32" s="221">
        <f t="shared" si="14"/>
        <v>14091</v>
      </c>
      <c r="U32" s="237"/>
      <c r="V32" s="279">
        <f t="shared" si="2"/>
        <v>9443</v>
      </c>
      <c r="W32" s="280">
        <f t="shared" si="3"/>
        <v>84987</v>
      </c>
      <c r="X32" s="53">
        <f t="shared" si="4"/>
        <v>9446</v>
      </c>
      <c r="Y32" s="53">
        <f t="shared" si="5"/>
        <v>0</v>
      </c>
      <c r="AA32" s="279">
        <f t="shared" si="6"/>
        <v>4642</v>
      </c>
      <c r="AB32" s="280">
        <f t="shared" si="7"/>
        <v>41778</v>
      </c>
      <c r="AC32" s="53">
        <f t="shared" si="8"/>
        <v>4645</v>
      </c>
      <c r="AD32" s="53">
        <f t="shared" si="9"/>
        <v>0</v>
      </c>
      <c r="AF32" s="279">
        <f t="shared" si="10"/>
        <v>1565</v>
      </c>
      <c r="AG32" s="280">
        <f t="shared" si="11"/>
        <v>14085</v>
      </c>
      <c r="AH32" s="53">
        <f t="shared" si="12"/>
        <v>1566</v>
      </c>
      <c r="AI32" s="53">
        <f t="shared" si="13"/>
        <v>0</v>
      </c>
    </row>
    <row r="33" spans="1:35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>IF(Notes!$B$2="June",'AEA Funding and Payments'!$X33,ROUND(N33/10,0))</f>
        <v>10623</v>
      </c>
      <c r="S33" s="221">
        <f>IF(Notes!$B$2="June",'AEA Funding and Payments'!$AC33,ROUND(O33/10,0))</f>
        <v>4136</v>
      </c>
      <c r="T33" s="221">
        <f t="shared" si="14"/>
        <v>14759</v>
      </c>
      <c r="U33" s="237"/>
      <c r="V33" s="279">
        <f t="shared" si="2"/>
        <v>10623</v>
      </c>
      <c r="W33" s="280">
        <f t="shared" si="3"/>
        <v>95607</v>
      </c>
      <c r="X33" s="53">
        <f t="shared" si="4"/>
        <v>10623</v>
      </c>
      <c r="Y33" s="53">
        <f t="shared" si="5"/>
        <v>0</v>
      </c>
      <c r="AA33" s="279">
        <f t="shared" si="6"/>
        <v>4134</v>
      </c>
      <c r="AB33" s="280">
        <f t="shared" si="7"/>
        <v>37206</v>
      </c>
      <c r="AC33" s="53">
        <f t="shared" si="8"/>
        <v>4136</v>
      </c>
      <c r="AD33" s="53">
        <f t="shared" si="9"/>
        <v>0</v>
      </c>
      <c r="AF33" s="279">
        <f t="shared" si="10"/>
        <v>1640</v>
      </c>
      <c r="AG33" s="280">
        <f t="shared" si="11"/>
        <v>14760</v>
      </c>
      <c r="AH33" s="53">
        <f t="shared" si="12"/>
        <v>1637</v>
      </c>
      <c r="AI33" s="53">
        <f t="shared" si="13"/>
        <v>0</v>
      </c>
    </row>
    <row r="34" spans="1:35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>IF(Notes!$B$2="June",'AEA Funding and Payments'!$X34,ROUND(N34/10,0))</f>
        <v>9871</v>
      </c>
      <c r="S34" s="221">
        <f>IF(Notes!$B$2="June",'AEA Funding and Payments'!$AC34,ROUND(O34/10,0))</f>
        <v>3792</v>
      </c>
      <c r="T34" s="221">
        <f t="shared" si="14"/>
        <v>13663</v>
      </c>
      <c r="U34" s="237"/>
      <c r="V34" s="279">
        <f t="shared" si="2"/>
        <v>9869</v>
      </c>
      <c r="W34" s="280">
        <f t="shared" si="3"/>
        <v>88821</v>
      </c>
      <c r="X34" s="53">
        <f t="shared" si="4"/>
        <v>9871</v>
      </c>
      <c r="Y34" s="53">
        <f t="shared" si="5"/>
        <v>0</v>
      </c>
      <c r="AA34" s="279">
        <f t="shared" si="6"/>
        <v>3788</v>
      </c>
      <c r="AB34" s="280">
        <f t="shared" si="7"/>
        <v>34092</v>
      </c>
      <c r="AC34" s="53">
        <f t="shared" si="8"/>
        <v>3792</v>
      </c>
      <c r="AD34" s="53">
        <f t="shared" si="9"/>
        <v>0</v>
      </c>
      <c r="AF34" s="279">
        <f t="shared" si="10"/>
        <v>1518</v>
      </c>
      <c r="AG34" s="280">
        <f t="shared" si="11"/>
        <v>13662</v>
      </c>
      <c r="AH34" s="53">
        <f t="shared" si="12"/>
        <v>1513</v>
      </c>
      <c r="AI34" s="53">
        <f t="shared" si="13"/>
        <v>0</v>
      </c>
    </row>
    <row r="35" spans="1:35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>IF(Notes!$B$2="June",'AEA Funding and Payments'!$X35,ROUND(N35/10,0))</f>
        <v>12188</v>
      </c>
      <c r="S35" s="221">
        <f>IF(Notes!$B$2="June",'AEA Funding and Payments'!$AC35,ROUND(O35/10,0))</f>
        <v>5075</v>
      </c>
      <c r="T35" s="221">
        <f t="shared" si="14"/>
        <v>17263</v>
      </c>
      <c r="U35" s="237"/>
      <c r="V35" s="279">
        <f t="shared" si="2"/>
        <v>12188</v>
      </c>
      <c r="W35" s="280">
        <f t="shared" si="3"/>
        <v>109692</v>
      </c>
      <c r="X35" s="53">
        <f t="shared" si="4"/>
        <v>12188</v>
      </c>
      <c r="Y35" s="53">
        <f t="shared" si="5"/>
        <v>0</v>
      </c>
      <c r="AA35" s="279">
        <f t="shared" si="6"/>
        <v>5072</v>
      </c>
      <c r="AB35" s="280">
        <f t="shared" si="7"/>
        <v>45648</v>
      </c>
      <c r="AC35" s="53">
        <f t="shared" si="8"/>
        <v>5075</v>
      </c>
      <c r="AD35" s="53">
        <f t="shared" si="9"/>
        <v>0</v>
      </c>
      <c r="AF35" s="279">
        <f t="shared" si="10"/>
        <v>1918</v>
      </c>
      <c r="AG35" s="280">
        <f t="shared" si="11"/>
        <v>17262</v>
      </c>
      <c r="AH35" s="53">
        <f t="shared" si="12"/>
        <v>1916</v>
      </c>
      <c r="AI35" s="53">
        <f t="shared" si="13"/>
        <v>0</v>
      </c>
    </row>
    <row r="36" spans="1:35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>IF(Notes!$B$2="June",'AEA Funding and Payments'!$X36,ROUND(N36/10,0))</f>
        <v>15029</v>
      </c>
      <c r="S36" s="221">
        <f>IF(Notes!$B$2="June",'AEA Funding and Payments'!$AC36,ROUND(O36/10,0))</f>
        <v>6715</v>
      </c>
      <c r="T36" s="221">
        <f t="shared" si="14"/>
        <v>21744</v>
      </c>
      <c r="U36" s="237"/>
      <c r="V36" s="279">
        <f t="shared" si="2"/>
        <v>15032</v>
      </c>
      <c r="W36" s="280">
        <f t="shared" si="3"/>
        <v>135288</v>
      </c>
      <c r="X36" s="53">
        <f t="shared" si="4"/>
        <v>15029</v>
      </c>
      <c r="Y36" s="53">
        <f t="shared" si="5"/>
        <v>0</v>
      </c>
      <c r="AA36" s="279">
        <f t="shared" si="6"/>
        <v>6716</v>
      </c>
      <c r="AB36" s="280">
        <f t="shared" si="7"/>
        <v>60444</v>
      </c>
      <c r="AC36" s="53">
        <f t="shared" si="8"/>
        <v>6715</v>
      </c>
      <c r="AD36" s="53">
        <f t="shared" si="9"/>
        <v>0</v>
      </c>
      <c r="AF36" s="279">
        <f t="shared" si="10"/>
        <v>2416</v>
      </c>
      <c r="AG36" s="280">
        <f t="shared" si="11"/>
        <v>21744</v>
      </c>
      <c r="AH36" s="53">
        <f t="shared" si="12"/>
        <v>2420</v>
      </c>
      <c r="AI36" s="53">
        <f t="shared" si="13"/>
        <v>0</v>
      </c>
    </row>
    <row r="37" spans="1:35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>IF(Notes!$B$2="June",'AEA Funding and Payments'!$X37,ROUND(N37/10,0))</f>
        <v>3327</v>
      </c>
      <c r="S37" s="221">
        <f>IF(Notes!$B$2="June",'AEA Funding and Payments'!$AC37,ROUND(O37/10,0))</f>
        <v>2259</v>
      </c>
      <c r="T37" s="221">
        <f t="shared" si="14"/>
        <v>5586</v>
      </c>
      <c r="U37" s="237"/>
      <c r="V37" s="279">
        <f t="shared" si="2"/>
        <v>3323</v>
      </c>
      <c r="W37" s="280">
        <f t="shared" si="3"/>
        <v>29907</v>
      </c>
      <c r="X37" s="53">
        <f t="shared" si="4"/>
        <v>3327</v>
      </c>
      <c r="Y37" s="53">
        <f t="shared" si="5"/>
        <v>0</v>
      </c>
      <c r="AA37" s="279">
        <f t="shared" si="6"/>
        <v>2260</v>
      </c>
      <c r="AB37" s="280">
        <f t="shared" si="7"/>
        <v>20340</v>
      </c>
      <c r="AC37" s="53">
        <f t="shared" si="8"/>
        <v>2259</v>
      </c>
      <c r="AD37" s="53">
        <f t="shared" si="9"/>
        <v>0</v>
      </c>
      <c r="AF37" s="279">
        <f t="shared" si="10"/>
        <v>620</v>
      </c>
      <c r="AG37" s="280">
        <f t="shared" si="11"/>
        <v>5580</v>
      </c>
      <c r="AH37" s="53">
        <f t="shared" si="12"/>
        <v>624</v>
      </c>
      <c r="AI37" s="53">
        <f t="shared" si="13"/>
        <v>0</v>
      </c>
    </row>
    <row r="38" spans="1:35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>IF(Notes!$B$2="June",'AEA Funding and Payments'!$X38,ROUND(N38/10,0))</f>
        <v>30334</v>
      </c>
      <c r="S38" s="221">
        <f>IF(Notes!$B$2="June",'AEA Funding and Payments'!$AC38,ROUND(O38/10,0))</f>
        <v>11691</v>
      </c>
      <c r="T38" s="221">
        <f t="shared" si="14"/>
        <v>42025</v>
      </c>
      <c r="U38" s="237"/>
      <c r="V38" s="279">
        <f t="shared" si="2"/>
        <v>30331</v>
      </c>
      <c r="W38" s="280">
        <f t="shared" si="3"/>
        <v>272979</v>
      </c>
      <c r="X38" s="53">
        <f t="shared" si="4"/>
        <v>30334</v>
      </c>
      <c r="Y38" s="53">
        <f t="shared" si="5"/>
        <v>0</v>
      </c>
      <c r="AA38" s="279">
        <f t="shared" si="6"/>
        <v>11689</v>
      </c>
      <c r="AB38" s="280">
        <f t="shared" si="7"/>
        <v>105201</v>
      </c>
      <c r="AC38" s="53">
        <f t="shared" si="8"/>
        <v>11691</v>
      </c>
      <c r="AD38" s="53">
        <f t="shared" si="9"/>
        <v>0</v>
      </c>
      <c r="AF38" s="279">
        <f t="shared" si="10"/>
        <v>4669</v>
      </c>
      <c r="AG38" s="280">
        <f t="shared" si="11"/>
        <v>42021</v>
      </c>
      <c r="AH38" s="53">
        <f t="shared" si="12"/>
        <v>4669</v>
      </c>
      <c r="AI38" s="53">
        <f t="shared" si="13"/>
        <v>0</v>
      </c>
    </row>
    <row r="39" spans="1:35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>IF(Notes!$B$2="June",'AEA Funding and Payments'!$X39,ROUND(N39/10,0))</f>
        <v>81504</v>
      </c>
      <c r="S39" s="221">
        <f>IF(Notes!$B$2="June",'AEA Funding and Payments'!$AC39,ROUND(O39/10,0))</f>
        <v>33246</v>
      </c>
      <c r="T39" s="221">
        <f t="shared" si="14"/>
        <v>114750</v>
      </c>
      <c r="U39" s="237"/>
      <c r="V39" s="279">
        <f t="shared" si="2"/>
        <v>81504</v>
      </c>
      <c r="W39" s="280">
        <f t="shared" si="3"/>
        <v>733536</v>
      </c>
      <c r="X39" s="53">
        <f t="shared" si="4"/>
        <v>81504</v>
      </c>
      <c r="Y39" s="53">
        <f t="shared" si="5"/>
        <v>0</v>
      </c>
      <c r="AA39" s="279">
        <f t="shared" si="6"/>
        <v>33246</v>
      </c>
      <c r="AB39" s="280">
        <f t="shared" si="7"/>
        <v>299214</v>
      </c>
      <c r="AC39" s="53">
        <f t="shared" si="8"/>
        <v>33246</v>
      </c>
      <c r="AD39" s="53">
        <f t="shared" si="9"/>
        <v>0</v>
      </c>
      <c r="AF39" s="279">
        <f t="shared" si="10"/>
        <v>12750</v>
      </c>
      <c r="AG39" s="280">
        <f t="shared" si="11"/>
        <v>114750</v>
      </c>
      <c r="AH39" s="53">
        <f t="shared" si="12"/>
        <v>12750</v>
      </c>
      <c r="AI39" s="53">
        <f t="shared" si="13"/>
        <v>0</v>
      </c>
    </row>
    <row r="40" spans="1:35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>IF(Notes!$B$2="June",'AEA Funding and Payments'!$X40,ROUND(N40/10,0))</f>
        <v>16272</v>
      </c>
      <c r="S40" s="221">
        <f>IF(Notes!$B$2="June",'AEA Funding and Payments'!$AC40,ROUND(O40/10,0))</f>
        <v>6795</v>
      </c>
      <c r="T40" s="221">
        <f t="shared" si="14"/>
        <v>23067</v>
      </c>
      <c r="U40" s="237"/>
      <c r="V40" s="279">
        <f t="shared" si="2"/>
        <v>16270</v>
      </c>
      <c r="W40" s="280">
        <f t="shared" si="3"/>
        <v>146430</v>
      </c>
      <c r="X40" s="53">
        <f t="shared" si="4"/>
        <v>16272</v>
      </c>
      <c r="Y40" s="53">
        <f t="shared" si="5"/>
        <v>0</v>
      </c>
      <c r="AA40" s="279">
        <f t="shared" si="6"/>
        <v>6792</v>
      </c>
      <c r="AB40" s="280">
        <f t="shared" si="7"/>
        <v>61128</v>
      </c>
      <c r="AC40" s="53">
        <f t="shared" si="8"/>
        <v>6795</v>
      </c>
      <c r="AD40" s="53">
        <f t="shared" si="9"/>
        <v>0</v>
      </c>
      <c r="AF40" s="279">
        <f t="shared" si="10"/>
        <v>2563</v>
      </c>
      <c r="AG40" s="280">
        <f t="shared" si="11"/>
        <v>23067</v>
      </c>
      <c r="AH40" s="53">
        <f t="shared" si="12"/>
        <v>2558</v>
      </c>
      <c r="AI40" s="53">
        <f t="shared" si="13"/>
        <v>0</v>
      </c>
    </row>
    <row r="41" spans="1:35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>IF(Notes!$B$2="June",'AEA Funding and Payments'!$X41,ROUND(N41/10,0))</f>
        <v>56078</v>
      </c>
      <c r="S41" s="221">
        <f>IF(Notes!$B$2="June",'AEA Funding and Payments'!$AC41,ROUND(O41/10,0))</f>
        <v>19336</v>
      </c>
      <c r="T41" s="221">
        <f t="shared" si="14"/>
        <v>75414</v>
      </c>
      <c r="U41" s="237"/>
      <c r="V41" s="279">
        <f t="shared" si="2"/>
        <v>56074</v>
      </c>
      <c r="W41" s="280">
        <f t="shared" si="3"/>
        <v>504666</v>
      </c>
      <c r="X41" s="53">
        <f t="shared" si="4"/>
        <v>56078</v>
      </c>
      <c r="Y41" s="53">
        <f t="shared" si="5"/>
        <v>0</v>
      </c>
      <c r="AA41" s="279">
        <f t="shared" si="6"/>
        <v>19334</v>
      </c>
      <c r="AB41" s="280">
        <f t="shared" si="7"/>
        <v>174006</v>
      </c>
      <c r="AC41" s="53">
        <f t="shared" si="8"/>
        <v>19336</v>
      </c>
      <c r="AD41" s="53">
        <f t="shared" si="9"/>
        <v>0</v>
      </c>
      <c r="AF41" s="279">
        <f t="shared" si="10"/>
        <v>8379</v>
      </c>
      <c r="AG41" s="280">
        <f t="shared" si="11"/>
        <v>75411</v>
      </c>
      <c r="AH41" s="53">
        <f t="shared" si="12"/>
        <v>8376</v>
      </c>
      <c r="AI41" s="53">
        <f t="shared" si="13"/>
        <v>0</v>
      </c>
    </row>
    <row r="42" spans="1:35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>IF(Notes!$B$2="June",'AEA Funding and Payments'!$X42,ROUND(N42/10,0))</f>
        <v>44117</v>
      </c>
      <c r="S42" s="221">
        <f>IF(Notes!$B$2="June",'AEA Funding and Payments'!$AC42,ROUND(O42/10,0))</f>
        <v>15215</v>
      </c>
      <c r="T42" s="221">
        <f t="shared" si="14"/>
        <v>59332</v>
      </c>
      <c r="U42" s="237"/>
      <c r="V42" s="279">
        <f t="shared" si="2"/>
        <v>44117</v>
      </c>
      <c r="W42" s="280">
        <f t="shared" si="3"/>
        <v>397053</v>
      </c>
      <c r="X42" s="53">
        <f t="shared" si="4"/>
        <v>44117</v>
      </c>
      <c r="Y42" s="53">
        <f t="shared" si="5"/>
        <v>0</v>
      </c>
      <c r="AA42" s="279">
        <f t="shared" si="6"/>
        <v>15211</v>
      </c>
      <c r="AB42" s="280">
        <f t="shared" si="7"/>
        <v>136899</v>
      </c>
      <c r="AC42" s="53">
        <f t="shared" si="8"/>
        <v>15215</v>
      </c>
      <c r="AD42" s="53">
        <f t="shared" si="9"/>
        <v>0</v>
      </c>
      <c r="AF42" s="279">
        <f t="shared" si="10"/>
        <v>6592</v>
      </c>
      <c r="AG42" s="280">
        <f t="shared" si="11"/>
        <v>59328</v>
      </c>
      <c r="AH42" s="53">
        <f t="shared" si="12"/>
        <v>6593</v>
      </c>
      <c r="AI42" s="53">
        <f t="shared" si="13"/>
        <v>0</v>
      </c>
    </row>
    <row r="43" spans="1:35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>IF(Notes!$B$2="June",'AEA Funding and Payments'!$X43,ROUND(N43/10,0))</f>
        <v>11646</v>
      </c>
      <c r="S43" s="221">
        <f>IF(Notes!$B$2="June",'AEA Funding and Payments'!$AC43,ROUND(O43/10,0))</f>
        <v>5068</v>
      </c>
      <c r="T43" s="221">
        <f t="shared" si="14"/>
        <v>16714</v>
      </c>
      <c r="U43" s="237"/>
      <c r="V43" s="279">
        <f t="shared" si="2"/>
        <v>11646</v>
      </c>
      <c r="W43" s="280">
        <f t="shared" si="3"/>
        <v>104814</v>
      </c>
      <c r="X43" s="53">
        <f t="shared" si="4"/>
        <v>11646</v>
      </c>
      <c r="Y43" s="53">
        <f t="shared" si="5"/>
        <v>0</v>
      </c>
      <c r="AA43" s="279">
        <f t="shared" si="6"/>
        <v>5071</v>
      </c>
      <c r="AB43" s="280">
        <f t="shared" si="7"/>
        <v>45639</v>
      </c>
      <c r="AC43" s="53">
        <f t="shared" si="8"/>
        <v>5068</v>
      </c>
      <c r="AD43" s="53">
        <f t="shared" si="9"/>
        <v>0</v>
      </c>
      <c r="AF43" s="279">
        <f t="shared" si="10"/>
        <v>1857</v>
      </c>
      <c r="AG43" s="280">
        <f t="shared" si="11"/>
        <v>16713</v>
      </c>
      <c r="AH43" s="53">
        <f t="shared" si="12"/>
        <v>1861</v>
      </c>
      <c r="AI43" s="53">
        <f t="shared" si="13"/>
        <v>0</v>
      </c>
    </row>
    <row r="44" spans="1:35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>IF(Notes!$B$2="June",'AEA Funding and Payments'!$X44,ROUND(N44/10,0))</f>
        <v>11979</v>
      </c>
      <c r="S44" s="221">
        <f>IF(Notes!$B$2="June",'AEA Funding and Payments'!$AC44,ROUND(O44/10,0))</f>
        <v>4885</v>
      </c>
      <c r="T44" s="221">
        <f t="shared" si="14"/>
        <v>16864</v>
      </c>
      <c r="U44" s="237"/>
      <c r="V44" s="279">
        <f t="shared" si="2"/>
        <v>11984</v>
      </c>
      <c r="W44" s="280">
        <f t="shared" si="3"/>
        <v>107856</v>
      </c>
      <c r="X44" s="53">
        <f t="shared" si="4"/>
        <v>11979</v>
      </c>
      <c r="Y44" s="53">
        <f t="shared" si="5"/>
        <v>0</v>
      </c>
      <c r="AA44" s="279">
        <f t="shared" si="6"/>
        <v>4884</v>
      </c>
      <c r="AB44" s="280">
        <f t="shared" si="7"/>
        <v>43956</v>
      </c>
      <c r="AC44" s="53">
        <f t="shared" si="8"/>
        <v>4885</v>
      </c>
      <c r="AD44" s="53">
        <f t="shared" si="9"/>
        <v>0</v>
      </c>
      <c r="AF44" s="279">
        <f t="shared" si="10"/>
        <v>1874</v>
      </c>
      <c r="AG44" s="280">
        <f t="shared" si="11"/>
        <v>16866</v>
      </c>
      <c r="AH44" s="53">
        <f t="shared" si="12"/>
        <v>1876</v>
      </c>
      <c r="AI44" s="53">
        <f t="shared" si="13"/>
        <v>0</v>
      </c>
    </row>
    <row r="45" spans="1:35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>IF(Notes!$B$2="June",'AEA Funding and Payments'!$X45,ROUND(N45/10,0))</f>
        <v>11179</v>
      </c>
      <c r="S45" s="221">
        <f>IF(Notes!$B$2="June",'AEA Funding and Payments'!$AC45,ROUND(O45/10,0))</f>
        <v>4554</v>
      </c>
      <c r="T45" s="221">
        <f t="shared" si="14"/>
        <v>15733</v>
      </c>
      <c r="U45" s="237"/>
      <c r="V45" s="279">
        <f t="shared" si="2"/>
        <v>11178</v>
      </c>
      <c r="W45" s="280">
        <f t="shared" si="3"/>
        <v>100602</v>
      </c>
      <c r="X45" s="53">
        <f t="shared" si="4"/>
        <v>11179</v>
      </c>
      <c r="Y45" s="53">
        <f t="shared" si="5"/>
        <v>0</v>
      </c>
      <c r="AA45" s="279">
        <f t="shared" si="6"/>
        <v>4556</v>
      </c>
      <c r="AB45" s="280">
        <f t="shared" si="7"/>
        <v>41004</v>
      </c>
      <c r="AC45" s="53">
        <f t="shared" si="8"/>
        <v>4554</v>
      </c>
      <c r="AD45" s="53">
        <f t="shared" si="9"/>
        <v>0</v>
      </c>
      <c r="AF45" s="279">
        <f t="shared" si="10"/>
        <v>1748</v>
      </c>
      <c r="AG45" s="280">
        <f t="shared" si="11"/>
        <v>15732</v>
      </c>
      <c r="AH45" s="53">
        <f t="shared" si="12"/>
        <v>1750</v>
      </c>
      <c r="AI45" s="53">
        <f t="shared" si="13"/>
        <v>0</v>
      </c>
    </row>
    <row r="46" spans="1:35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>IF(Notes!$B$2="June",'AEA Funding and Payments'!$X46,ROUND(N46/10,0))</f>
        <v>9806</v>
      </c>
      <c r="S46" s="221">
        <f>IF(Notes!$B$2="June",'AEA Funding and Payments'!$AC46,ROUND(O46/10,0))</f>
        <v>4410</v>
      </c>
      <c r="T46" s="221">
        <f t="shared" si="14"/>
        <v>14216</v>
      </c>
      <c r="U46" s="237"/>
      <c r="V46" s="279">
        <f t="shared" si="2"/>
        <v>9809</v>
      </c>
      <c r="W46" s="280">
        <f t="shared" si="3"/>
        <v>88281</v>
      </c>
      <c r="X46" s="53">
        <f t="shared" si="4"/>
        <v>9806</v>
      </c>
      <c r="Y46" s="53">
        <f t="shared" si="5"/>
        <v>0</v>
      </c>
      <c r="AA46" s="279">
        <f t="shared" si="6"/>
        <v>4409</v>
      </c>
      <c r="AB46" s="280">
        <f t="shared" si="7"/>
        <v>39681</v>
      </c>
      <c r="AC46" s="53">
        <f t="shared" si="8"/>
        <v>4410</v>
      </c>
      <c r="AD46" s="53">
        <f t="shared" si="9"/>
        <v>0</v>
      </c>
      <c r="AF46" s="279">
        <f t="shared" si="10"/>
        <v>1580</v>
      </c>
      <c r="AG46" s="280">
        <f t="shared" si="11"/>
        <v>14220</v>
      </c>
      <c r="AH46" s="53">
        <f t="shared" si="12"/>
        <v>1578</v>
      </c>
      <c r="AI46" s="53">
        <f t="shared" si="13"/>
        <v>0</v>
      </c>
    </row>
    <row r="47" spans="1:35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>IF(Notes!$B$2="June",'AEA Funding and Payments'!$X47,ROUND(N47/10,0))</f>
        <v>83113</v>
      </c>
      <c r="S47" s="221">
        <f>IF(Notes!$B$2="June",'AEA Funding and Payments'!$AC47,ROUND(O47/10,0))</f>
        <v>31820</v>
      </c>
      <c r="T47" s="221">
        <f t="shared" si="14"/>
        <v>114933</v>
      </c>
      <c r="U47" s="237"/>
      <c r="V47" s="279">
        <f t="shared" si="2"/>
        <v>83113</v>
      </c>
      <c r="W47" s="280">
        <f t="shared" si="3"/>
        <v>748017</v>
      </c>
      <c r="X47" s="53">
        <f t="shared" si="4"/>
        <v>83113</v>
      </c>
      <c r="Y47" s="53">
        <f t="shared" si="5"/>
        <v>0</v>
      </c>
      <c r="AA47" s="279">
        <f t="shared" si="6"/>
        <v>31819</v>
      </c>
      <c r="AB47" s="280">
        <f t="shared" si="7"/>
        <v>286371</v>
      </c>
      <c r="AC47" s="53">
        <f t="shared" si="8"/>
        <v>31820</v>
      </c>
      <c r="AD47" s="53">
        <f t="shared" si="9"/>
        <v>0</v>
      </c>
      <c r="AF47" s="279">
        <f t="shared" si="10"/>
        <v>12770</v>
      </c>
      <c r="AG47" s="280">
        <f t="shared" si="11"/>
        <v>114930</v>
      </c>
      <c r="AH47" s="53">
        <f t="shared" si="12"/>
        <v>12772</v>
      </c>
      <c r="AI47" s="53">
        <f t="shared" si="13"/>
        <v>0</v>
      </c>
    </row>
    <row r="48" spans="1:35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>IF(Notes!$B$2="June",'AEA Funding and Payments'!$X48,ROUND(N48/10,0))</f>
        <v>8990</v>
      </c>
      <c r="S48" s="221">
        <f>IF(Notes!$B$2="June",'AEA Funding and Payments'!$AC48,ROUND(O48/10,0))</f>
        <v>4027</v>
      </c>
      <c r="T48" s="221">
        <f t="shared" si="14"/>
        <v>13017</v>
      </c>
      <c r="U48" s="237"/>
      <c r="V48" s="279">
        <f t="shared" si="2"/>
        <v>8991</v>
      </c>
      <c r="W48" s="280">
        <f t="shared" si="3"/>
        <v>80919</v>
      </c>
      <c r="X48" s="53">
        <f t="shared" si="4"/>
        <v>8990</v>
      </c>
      <c r="Y48" s="53">
        <f t="shared" si="5"/>
        <v>0</v>
      </c>
      <c r="AA48" s="279">
        <f t="shared" si="6"/>
        <v>4025</v>
      </c>
      <c r="AB48" s="280">
        <f t="shared" si="7"/>
        <v>36225</v>
      </c>
      <c r="AC48" s="53">
        <f t="shared" si="8"/>
        <v>4027</v>
      </c>
      <c r="AD48" s="53">
        <f t="shared" si="9"/>
        <v>0</v>
      </c>
      <c r="AF48" s="279">
        <f t="shared" si="10"/>
        <v>1446</v>
      </c>
      <c r="AG48" s="280">
        <f t="shared" si="11"/>
        <v>13014</v>
      </c>
      <c r="AH48" s="53">
        <f t="shared" si="12"/>
        <v>1448</v>
      </c>
      <c r="AI48" s="53">
        <f t="shared" si="13"/>
        <v>0</v>
      </c>
    </row>
    <row r="49" spans="1:35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>IF(Notes!$B$2="June",'AEA Funding and Payments'!$X49,ROUND(N49/10,0))</f>
        <v>6167</v>
      </c>
      <c r="S49" s="221">
        <f>IF(Notes!$B$2="June",'AEA Funding and Payments'!$AC49,ROUND(O49/10,0))</f>
        <v>2512</v>
      </c>
      <c r="T49" s="221">
        <f t="shared" si="14"/>
        <v>8679</v>
      </c>
      <c r="U49" s="237"/>
      <c r="V49" s="279">
        <f t="shared" si="2"/>
        <v>6168</v>
      </c>
      <c r="W49" s="280">
        <f t="shared" si="3"/>
        <v>55512</v>
      </c>
      <c r="X49" s="53">
        <f t="shared" si="4"/>
        <v>6167</v>
      </c>
      <c r="Y49" s="53">
        <f t="shared" si="5"/>
        <v>0</v>
      </c>
      <c r="AA49" s="279">
        <f t="shared" si="6"/>
        <v>2514</v>
      </c>
      <c r="AB49" s="280">
        <f t="shared" si="7"/>
        <v>22626</v>
      </c>
      <c r="AC49" s="53">
        <f t="shared" si="8"/>
        <v>2512</v>
      </c>
      <c r="AD49" s="53">
        <f t="shared" si="9"/>
        <v>0</v>
      </c>
      <c r="AF49" s="279">
        <f t="shared" si="10"/>
        <v>965</v>
      </c>
      <c r="AG49" s="280">
        <f t="shared" si="11"/>
        <v>8685</v>
      </c>
      <c r="AH49" s="53">
        <f t="shared" si="12"/>
        <v>961</v>
      </c>
      <c r="AI49" s="53">
        <f t="shared" si="13"/>
        <v>0</v>
      </c>
    </row>
    <row r="50" spans="1:35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>IF(Notes!$B$2="June",'AEA Funding and Payments'!$X50,ROUND(N50/10,0))</f>
        <v>7374</v>
      </c>
      <c r="S50" s="221">
        <f>IF(Notes!$B$2="June",'AEA Funding and Payments'!$AC50,ROUND(O50/10,0))</f>
        <v>4511</v>
      </c>
      <c r="T50" s="221">
        <f t="shared" si="14"/>
        <v>11885</v>
      </c>
      <c r="U50" s="237"/>
      <c r="V50" s="279">
        <f t="shared" si="2"/>
        <v>7372</v>
      </c>
      <c r="W50" s="280">
        <f t="shared" si="3"/>
        <v>66348</v>
      </c>
      <c r="X50" s="53">
        <f t="shared" si="4"/>
        <v>7374</v>
      </c>
      <c r="Y50" s="53">
        <f t="shared" si="5"/>
        <v>0</v>
      </c>
      <c r="AA50" s="279">
        <f t="shared" si="6"/>
        <v>4510</v>
      </c>
      <c r="AB50" s="280">
        <f t="shared" si="7"/>
        <v>40590</v>
      </c>
      <c r="AC50" s="53">
        <f t="shared" si="8"/>
        <v>4511</v>
      </c>
      <c r="AD50" s="53">
        <f t="shared" si="9"/>
        <v>0</v>
      </c>
      <c r="AF50" s="279">
        <f t="shared" si="10"/>
        <v>1320</v>
      </c>
      <c r="AG50" s="280">
        <f t="shared" si="11"/>
        <v>11880</v>
      </c>
      <c r="AH50" s="53">
        <f t="shared" si="12"/>
        <v>1323</v>
      </c>
      <c r="AI50" s="53">
        <f t="shared" si="13"/>
        <v>0</v>
      </c>
    </row>
    <row r="51" spans="1:35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>IF(Notes!$B$2="June",'AEA Funding and Payments'!$X51,ROUND(N51/10,0))</f>
        <v>17327</v>
      </c>
      <c r="S51" s="221">
        <f>IF(Notes!$B$2="June",'AEA Funding and Payments'!$AC51,ROUND(O51/10,0))</f>
        <v>6832</v>
      </c>
      <c r="T51" s="221">
        <f t="shared" si="14"/>
        <v>24159</v>
      </c>
      <c r="U51" s="237"/>
      <c r="V51" s="279">
        <f t="shared" si="2"/>
        <v>17323</v>
      </c>
      <c r="W51" s="280">
        <f t="shared" si="3"/>
        <v>155907</v>
      </c>
      <c r="X51" s="53">
        <f t="shared" si="4"/>
        <v>17327</v>
      </c>
      <c r="Y51" s="53">
        <f t="shared" si="5"/>
        <v>0</v>
      </c>
      <c r="AA51" s="279">
        <f t="shared" si="6"/>
        <v>6834</v>
      </c>
      <c r="AB51" s="280">
        <f t="shared" si="7"/>
        <v>61506</v>
      </c>
      <c r="AC51" s="53">
        <f t="shared" si="8"/>
        <v>6832</v>
      </c>
      <c r="AD51" s="53">
        <f t="shared" si="9"/>
        <v>0</v>
      </c>
      <c r="AF51" s="279">
        <f t="shared" si="10"/>
        <v>2684</v>
      </c>
      <c r="AG51" s="280">
        <f t="shared" si="11"/>
        <v>24156</v>
      </c>
      <c r="AH51" s="53">
        <f t="shared" si="12"/>
        <v>2685</v>
      </c>
      <c r="AI51" s="53">
        <f t="shared" si="13"/>
        <v>0</v>
      </c>
    </row>
    <row r="52" spans="1:35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>IF(Notes!$B$2="June",'AEA Funding and Payments'!$X52,ROUND(N52/10,0))</f>
        <v>12024</v>
      </c>
      <c r="S52" s="221">
        <f>IF(Notes!$B$2="June",'AEA Funding and Payments'!$AC52,ROUND(O52/10,0))</f>
        <v>4500</v>
      </c>
      <c r="T52" s="221">
        <f t="shared" si="14"/>
        <v>16524</v>
      </c>
      <c r="U52" s="237"/>
      <c r="V52" s="279">
        <f t="shared" si="2"/>
        <v>12025</v>
      </c>
      <c r="W52" s="280">
        <f t="shared" si="3"/>
        <v>108225</v>
      </c>
      <c r="X52" s="53">
        <f t="shared" si="4"/>
        <v>12024</v>
      </c>
      <c r="Y52" s="53">
        <f t="shared" si="5"/>
        <v>0</v>
      </c>
      <c r="AA52" s="279">
        <f t="shared" si="6"/>
        <v>4505</v>
      </c>
      <c r="AB52" s="280">
        <f t="shared" si="7"/>
        <v>40545</v>
      </c>
      <c r="AC52" s="53">
        <f t="shared" si="8"/>
        <v>4500</v>
      </c>
      <c r="AD52" s="53">
        <f t="shared" si="9"/>
        <v>0</v>
      </c>
      <c r="AF52" s="279">
        <f t="shared" si="10"/>
        <v>1837</v>
      </c>
      <c r="AG52" s="280">
        <f t="shared" si="11"/>
        <v>16533</v>
      </c>
      <c r="AH52" s="53">
        <f t="shared" si="12"/>
        <v>1833</v>
      </c>
      <c r="AI52" s="53">
        <f t="shared" si="13"/>
        <v>0</v>
      </c>
    </row>
    <row r="53" spans="1:35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>IF(Notes!$B$2="June",'AEA Funding and Payments'!$X53,ROUND(N53/10,0))</f>
        <v>40414</v>
      </c>
      <c r="S53" s="221">
        <f>IF(Notes!$B$2="June",'AEA Funding and Payments'!$AC53,ROUND(O53/10,0))</f>
        <v>14671</v>
      </c>
      <c r="T53" s="221">
        <f t="shared" si="14"/>
        <v>55085</v>
      </c>
      <c r="U53" s="237"/>
      <c r="V53" s="279">
        <f t="shared" si="2"/>
        <v>40416</v>
      </c>
      <c r="W53" s="280">
        <f t="shared" si="3"/>
        <v>363744</v>
      </c>
      <c r="X53" s="53">
        <f t="shared" si="4"/>
        <v>40414</v>
      </c>
      <c r="Y53" s="53">
        <f t="shared" si="5"/>
        <v>0</v>
      </c>
      <c r="AA53" s="279">
        <f t="shared" si="6"/>
        <v>14669</v>
      </c>
      <c r="AB53" s="280">
        <f t="shared" si="7"/>
        <v>132021</v>
      </c>
      <c r="AC53" s="53">
        <f t="shared" si="8"/>
        <v>14671</v>
      </c>
      <c r="AD53" s="53">
        <f t="shared" si="9"/>
        <v>0</v>
      </c>
      <c r="AF53" s="279">
        <f t="shared" si="10"/>
        <v>6121</v>
      </c>
      <c r="AG53" s="280">
        <f t="shared" si="11"/>
        <v>55089</v>
      </c>
      <c r="AH53" s="53">
        <f t="shared" si="12"/>
        <v>6117</v>
      </c>
      <c r="AI53" s="53">
        <f t="shared" si="13"/>
        <v>0</v>
      </c>
    </row>
    <row r="54" spans="1:35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>IF(Notes!$B$2="June",'AEA Funding and Payments'!$X54,ROUND(N54/10,0))</f>
        <v>34285</v>
      </c>
      <c r="S54" s="221">
        <f>IF(Notes!$B$2="June",'AEA Funding and Payments'!$AC54,ROUND(O54/10,0))</f>
        <v>12944</v>
      </c>
      <c r="T54" s="221">
        <f t="shared" si="14"/>
        <v>47229</v>
      </c>
      <c r="U54" s="237"/>
      <c r="V54" s="279">
        <f t="shared" si="2"/>
        <v>34285</v>
      </c>
      <c r="W54" s="280">
        <f t="shared" si="3"/>
        <v>308565</v>
      </c>
      <c r="X54" s="53">
        <f t="shared" si="4"/>
        <v>34285</v>
      </c>
      <c r="Y54" s="53">
        <f t="shared" si="5"/>
        <v>0</v>
      </c>
      <c r="AA54" s="279">
        <f t="shared" si="6"/>
        <v>12942</v>
      </c>
      <c r="AB54" s="280">
        <f t="shared" si="7"/>
        <v>116478</v>
      </c>
      <c r="AC54" s="53">
        <f t="shared" si="8"/>
        <v>12944</v>
      </c>
      <c r="AD54" s="53">
        <f t="shared" si="9"/>
        <v>0</v>
      </c>
      <c r="AF54" s="279">
        <f t="shared" si="10"/>
        <v>5248</v>
      </c>
      <c r="AG54" s="280">
        <f t="shared" si="11"/>
        <v>47232</v>
      </c>
      <c r="AH54" s="53">
        <f t="shared" si="12"/>
        <v>5243</v>
      </c>
      <c r="AI54" s="53">
        <f t="shared" si="13"/>
        <v>0</v>
      </c>
    </row>
    <row r="55" spans="1:35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>IF(Notes!$B$2="June",'AEA Funding and Payments'!$X55,ROUND(N55/10,0))</f>
        <v>117616</v>
      </c>
      <c r="S55" s="221">
        <f>IF(Notes!$B$2="June",'AEA Funding and Payments'!$AC55,ROUND(O55/10,0))</f>
        <v>47937</v>
      </c>
      <c r="T55" s="221">
        <f t="shared" si="14"/>
        <v>165553</v>
      </c>
      <c r="U55" s="237"/>
      <c r="V55" s="279">
        <f t="shared" si="2"/>
        <v>117618</v>
      </c>
      <c r="W55" s="280">
        <f t="shared" si="3"/>
        <v>1058562</v>
      </c>
      <c r="X55" s="53">
        <f t="shared" si="4"/>
        <v>117616</v>
      </c>
      <c r="Y55" s="53">
        <f t="shared" si="5"/>
        <v>0</v>
      </c>
      <c r="AA55" s="279">
        <f t="shared" si="6"/>
        <v>47937</v>
      </c>
      <c r="AB55" s="280">
        <f t="shared" si="7"/>
        <v>431433</v>
      </c>
      <c r="AC55" s="53">
        <f t="shared" si="8"/>
        <v>47937</v>
      </c>
      <c r="AD55" s="53">
        <f t="shared" si="9"/>
        <v>0</v>
      </c>
      <c r="AF55" s="279">
        <f t="shared" si="10"/>
        <v>18395</v>
      </c>
      <c r="AG55" s="280">
        <f t="shared" si="11"/>
        <v>165555</v>
      </c>
      <c r="AH55" s="53">
        <f t="shared" si="12"/>
        <v>18395</v>
      </c>
      <c r="AI55" s="53">
        <f t="shared" si="13"/>
        <v>0</v>
      </c>
    </row>
    <row r="56" spans="1:35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>IF(Notes!$B$2="June",'AEA Funding and Payments'!$X56,ROUND(N56/10,0))</f>
        <v>349963</v>
      </c>
      <c r="S56" s="221">
        <f>IF(Notes!$B$2="June",'AEA Funding and Payments'!$AC56,ROUND(O56/10,0))</f>
        <v>134342</v>
      </c>
      <c r="T56" s="221">
        <f t="shared" si="14"/>
        <v>484305</v>
      </c>
      <c r="U56" s="237"/>
      <c r="V56" s="279">
        <f t="shared" si="2"/>
        <v>349966</v>
      </c>
      <c r="W56" s="280">
        <f t="shared" si="3"/>
        <v>3149694</v>
      </c>
      <c r="X56" s="53">
        <f t="shared" si="4"/>
        <v>349963</v>
      </c>
      <c r="Y56" s="53">
        <f t="shared" si="5"/>
        <v>0</v>
      </c>
      <c r="AA56" s="279">
        <f t="shared" si="6"/>
        <v>134341</v>
      </c>
      <c r="AB56" s="280">
        <f t="shared" si="7"/>
        <v>1209069</v>
      </c>
      <c r="AC56" s="53">
        <f t="shared" si="8"/>
        <v>134342</v>
      </c>
      <c r="AD56" s="53">
        <f t="shared" si="9"/>
        <v>0</v>
      </c>
      <c r="AF56" s="279">
        <f t="shared" si="10"/>
        <v>53812</v>
      </c>
      <c r="AG56" s="280">
        <f t="shared" si="11"/>
        <v>484308</v>
      </c>
      <c r="AH56" s="53">
        <f t="shared" si="12"/>
        <v>53811</v>
      </c>
      <c r="AI56" s="53">
        <f t="shared" si="13"/>
        <v>0</v>
      </c>
    </row>
    <row r="57" spans="1:35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>IF(Notes!$B$2="June",'AEA Funding and Payments'!$X57,ROUND(N57/10,0))</f>
        <v>22603</v>
      </c>
      <c r="S57" s="221">
        <f>IF(Notes!$B$2="June",'AEA Funding and Payments'!$AC57,ROUND(O57/10,0))</f>
        <v>12449</v>
      </c>
      <c r="T57" s="221">
        <f t="shared" si="14"/>
        <v>35052</v>
      </c>
      <c r="U57" s="237"/>
      <c r="V57" s="279">
        <f t="shared" si="2"/>
        <v>22607</v>
      </c>
      <c r="W57" s="280">
        <f t="shared" si="3"/>
        <v>203463</v>
      </c>
      <c r="X57" s="53">
        <f t="shared" si="4"/>
        <v>22603</v>
      </c>
      <c r="Y57" s="53">
        <f t="shared" si="5"/>
        <v>0</v>
      </c>
      <c r="AA57" s="279">
        <f t="shared" si="6"/>
        <v>12454</v>
      </c>
      <c r="AB57" s="280">
        <f t="shared" si="7"/>
        <v>112086</v>
      </c>
      <c r="AC57" s="53">
        <f t="shared" si="8"/>
        <v>12449</v>
      </c>
      <c r="AD57" s="53">
        <f t="shared" si="9"/>
        <v>0</v>
      </c>
      <c r="AF57" s="279">
        <f t="shared" si="10"/>
        <v>3896</v>
      </c>
      <c r="AG57" s="280">
        <f t="shared" si="11"/>
        <v>35064</v>
      </c>
      <c r="AH57" s="53">
        <f t="shared" si="12"/>
        <v>3892</v>
      </c>
      <c r="AI57" s="53">
        <f t="shared" si="13"/>
        <v>0</v>
      </c>
    </row>
    <row r="58" spans="1:35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>IF(Notes!$B$2="June",'AEA Funding and Payments'!$X58,ROUND(N58/10,0))</f>
        <v>26942</v>
      </c>
      <c r="S58" s="221">
        <f>IF(Notes!$B$2="June",'AEA Funding and Payments'!$AC58,ROUND(O58/10,0))</f>
        <v>11649</v>
      </c>
      <c r="T58" s="221">
        <f t="shared" si="14"/>
        <v>38591</v>
      </c>
      <c r="U58" s="237"/>
      <c r="V58" s="279">
        <f t="shared" si="2"/>
        <v>26939</v>
      </c>
      <c r="W58" s="280">
        <f t="shared" si="3"/>
        <v>242451</v>
      </c>
      <c r="X58" s="53">
        <f t="shared" si="4"/>
        <v>26942</v>
      </c>
      <c r="Y58" s="53">
        <f t="shared" si="5"/>
        <v>0</v>
      </c>
      <c r="AA58" s="279">
        <f t="shared" si="6"/>
        <v>11654</v>
      </c>
      <c r="AB58" s="280">
        <f t="shared" si="7"/>
        <v>104886</v>
      </c>
      <c r="AC58" s="53">
        <f t="shared" si="8"/>
        <v>11649</v>
      </c>
      <c r="AD58" s="53">
        <f t="shared" si="9"/>
        <v>0</v>
      </c>
      <c r="AF58" s="279">
        <f t="shared" si="10"/>
        <v>4288</v>
      </c>
      <c r="AG58" s="280">
        <f t="shared" si="11"/>
        <v>38592</v>
      </c>
      <c r="AH58" s="53">
        <f t="shared" si="12"/>
        <v>4289</v>
      </c>
      <c r="AI58" s="53">
        <f t="shared" si="13"/>
        <v>0</v>
      </c>
    </row>
    <row r="59" spans="1:35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>IF(Notes!$B$2="June",'AEA Funding and Payments'!$X59,ROUND(N59/10,0))</f>
        <v>17814</v>
      </c>
      <c r="S59" s="221">
        <f>IF(Notes!$B$2="June",'AEA Funding and Payments'!$AC59,ROUND(O59/10,0))</f>
        <v>6670</v>
      </c>
      <c r="T59" s="221">
        <f t="shared" si="14"/>
        <v>24484</v>
      </c>
      <c r="U59" s="237"/>
      <c r="V59" s="279">
        <f t="shared" si="2"/>
        <v>17810</v>
      </c>
      <c r="W59" s="280">
        <f t="shared" si="3"/>
        <v>160290</v>
      </c>
      <c r="X59" s="53">
        <f t="shared" si="4"/>
        <v>17814</v>
      </c>
      <c r="Y59" s="53">
        <f t="shared" si="5"/>
        <v>0</v>
      </c>
      <c r="AA59" s="279">
        <f t="shared" si="6"/>
        <v>6672</v>
      </c>
      <c r="AB59" s="280">
        <f t="shared" si="7"/>
        <v>60048</v>
      </c>
      <c r="AC59" s="53">
        <f t="shared" si="8"/>
        <v>6670</v>
      </c>
      <c r="AD59" s="53">
        <f t="shared" si="9"/>
        <v>0</v>
      </c>
      <c r="AF59" s="279">
        <f t="shared" si="10"/>
        <v>2720</v>
      </c>
      <c r="AG59" s="280">
        <f t="shared" si="11"/>
        <v>24480</v>
      </c>
      <c r="AH59" s="53">
        <f t="shared" si="12"/>
        <v>2723</v>
      </c>
      <c r="AI59" s="53">
        <f t="shared" si="13"/>
        <v>0</v>
      </c>
    </row>
    <row r="60" spans="1:35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>IF(Notes!$B$2="June",'AEA Funding and Payments'!$X60,ROUND(N60/10,0))</f>
        <v>9733</v>
      </c>
      <c r="S60" s="221">
        <f>IF(Notes!$B$2="June",'AEA Funding and Payments'!$AC60,ROUND(O60/10,0))</f>
        <v>4722</v>
      </c>
      <c r="T60" s="221">
        <f t="shared" si="14"/>
        <v>14455</v>
      </c>
      <c r="U60" s="237"/>
      <c r="V60" s="279">
        <f t="shared" si="2"/>
        <v>9732</v>
      </c>
      <c r="W60" s="280">
        <f t="shared" si="3"/>
        <v>87588</v>
      </c>
      <c r="X60" s="53">
        <f t="shared" si="4"/>
        <v>9733</v>
      </c>
      <c r="Y60" s="53">
        <f t="shared" si="5"/>
        <v>0</v>
      </c>
      <c r="AA60" s="279">
        <f t="shared" si="6"/>
        <v>4722</v>
      </c>
      <c r="AB60" s="280">
        <f t="shared" si="7"/>
        <v>42498</v>
      </c>
      <c r="AC60" s="53">
        <f t="shared" si="8"/>
        <v>4722</v>
      </c>
      <c r="AD60" s="53">
        <f t="shared" si="9"/>
        <v>0</v>
      </c>
      <c r="AF60" s="279">
        <f t="shared" si="10"/>
        <v>1606</v>
      </c>
      <c r="AG60" s="280">
        <f t="shared" si="11"/>
        <v>14454</v>
      </c>
      <c r="AH60" s="53">
        <f t="shared" si="12"/>
        <v>1606</v>
      </c>
      <c r="AI60" s="53">
        <f t="shared" si="13"/>
        <v>0</v>
      </c>
    </row>
    <row r="61" spans="1:35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>IF(Notes!$B$2="June",'AEA Funding and Payments'!$X61,ROUND(N61/10,0))</f>
        <v>30946</v>
      </c>
      <c r="S61" s="221">
        <f>IF(Notes!$B$2="June",'AEA Funding and Payments'!$AC61,ROUND(O61/10,0))</f>
        <v>12212</v>
      </c>
      <c r="T61" s="221">
        <f t="shared" si="14"/>
        <v>43158</v>
      </c>
      <c r="U61" s="237"/>
      <c r="V61" s="279">
        <f t="shared" si="2"/>
        <v>30948</v>
      </c>
      <c r="W61" s="280">
        <f t="shared" si="3"/>
        <v>278532</v>
      </c>
      <c r="X61" s="53">
        <f t="shared" si="4"/>
        <v>30946</v>
      </c>
      <c r="Y61" s="53">
        <f t="shared" si="5"/>
        <v>0</v>
      </c>
      <c r="AA61" s="279">
        <f t="shared" si="6"/>
        <v>12208</v>
      </c>
      <c r="AB61" s="280">
        <f t="shared" si="7"/>
        <v>109872</v>
      </c>
      <c r="AC61" s="53">
        <f t="shared" si="8"/>
        <v>12212</v>
      </c>
      <c r="AD61" s="53">
        <f t="shared" si="9"/>
        <v>0</v>
      </c>
      <c r="AF61" s="279">
        <f t="shared" si="10"/>
        <v>4795</v>
      </c>
      <c r="AG61" s="280">
        <f t="shared" si="11"/>
        <v>43155</v>
      </c>
      <c r="AH61" s="53">
        <f t="shared" si="12"/>
        <v>4796</v>
      </c>
      <c r="AI61" s="53">
        <f t="shared" si="13"/>
        <v>0</v>
      </c>
    </row>
    <row r="62" spans="1:35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>IF(Notes!$B$2="June",'AEA Funding and Payments'!$X62,ROUND(N62/10,0))</f>
        <v>8377</v>
      </c>
      <c r="S62" s="221">
        <f>IF(Notes!$B$2="June",'AEA Funding and Payments'!$AC62,ROUND(O62/10,0))</f>
        <v>4074</v>
      </c>
      <c r="T62" s="221">
        <f t="shared" si="14"/>
        <v>12451</v>
      </c>
      <c r="U62" s="237"/>
      <c r="V62" s="279">
        <f t="shared" si="2"/>
        <v>8373</v>
      </c>
      <c r="W62" s="280">
        <f t="shared" si="3"/>
        <v>75357</v>
      </c>
      <c r="X62" s="53">
        <f t="shared" si="4"/>
        <v>8377</v>
      </c>
      <c r="Y62" s="53">
        <f t="shared" si="5"/>
        <v>0</v>
      </c>
      <c r="AA62" s="279">
        <f t="shared" si="6"/>
        <v>4075</v>
      </c>
      <c r="AB62" s="280">
        <f t="shared" si="7"/>
        <v>36675</v>
      </c>
      <c r="AC62" s="53">
        <f t="shared" si="8"/>
        <v>4074</v>
      </c>
      <c r="AD62" s="53">
        <f t="shared" si="9"/>
        <v>0</v>
      </c>
      <c r="AF62" s="279">
        <f t="shared" si="10"/>
        <v>1383</v>
      </c>
      <c r="AG62" s="280">
        <f t="shared" si="11"/>
        <v>12447</v>
      </c>
      <c r="AH62" s="53">
        <f t="shared" si="12"/>
        <v>1385</v>
      </c>
      <c r="AI62" s="53">
        <f t="shared" si="13"/>
        <v>0</v>
      </c>
    </row>
    <row r="63" spans="1:35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>IF(Notes!$B$2="June",'AEA Funding and Payments'!$X63,ROUND(N63/10,0))</f>
        <v>13285</v>
      </c>
      <c r="S63" s="221">
        <f>IF(Notes!$B$2="June",'AEA Funding and Payments'!$AC63,ROUND(O63/10,0))</f>
        <v>6114</v>
      </c>
      <c r="T63" s="221">
        <f t="shared" si="14"/>
        <v>19399</v>
      </c>
      <c r="U63" s="237"/>
      <c r="V63" s="279">
        <f t="shared" si="2"/>
        <v>13283</v>
      </c>
      <c r="W63" s="280">
        <f t="shared" si="3"/>
        <v>119547</v>
      </c>
      <c r="X63" s="53">
        <f t="shared" si="4"/>
        <v>13285</v>
      </c>
      <c r="Y63" s="53">
        <f t="shared" si="5"/>
        <v>0</v>
      </c>
      <c r="AA63" s="279">
        <f t="shared" si="6"/>
        <v>6111</v>
      </c>
      <c r="AB63" s="280">
        <f t="shared" si="7"/>
        <v>54999</v>
      </c>
      <c r="AC63" s="53">
        <f t="shared" si="8"/>
        <v>6114</v>
      </c>
      <c r="AD63" s="53">
        <f t="shared" si="9"/>
        <v>0</v>
      </c>
      <c r="AF63" s="279">
        <f t="shared" si="10"/>
        <v>2155</v>
      </c>
      <c r="AG63" s="280">
        <f t="shared" si="11"/>
        <v>19395</v>
      </c>
      <c r="AH63" s="53">
        <f t="shared" si="12"/>
        <v>2155</v>
      </c>
      <c r="AI63" s="53">
        <f t="shared" si="13"/>
        <v>0</v>
      </c>
    </row>
    <row r="64" spans="1:35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>IF(Notes!$B$2="June",'AEA Funding and Payments'!$X64,ROUND(N64/10,0))</f>
        <v>14859</v>
      </c>
      <c r="S64" s="221">
        <f>IF(Notes!$B$2="June",'AEA Funding and Payments'!$AC64,ROUND(O64/10,0))</f>
        <v>7539</v>
      </c>
      <c r="T64" s="221">
        <f t="shared" si="14"/>
        <v>22398</v>
      </c>
      <c r="U64" s="237"/>
      <c r="V64" s="279">
        <f t="shared" si="2"/>
        <v>14856</v>
      </c>
      <c r="W64" s="280">
        <f t="shared" si="3"/>
        <v>133704</v>
      </c>
      <c r="X64" s="53">
        <f t="shared" si="4"/>
        <v>14859</v>
      </c>
      <c r="Y64" s="53">
        <f t="shared" si="5"/>
        <v>0</v>
      </c>
      <c r="AA64" s="279">
        <f t="shared" si="6"/>
        <v>7535</v>
      </c>
      <c r="AB64" s="280">
        <f t="shared" si="7"/>
        <v>67815</v>
      </c>
      <c r="AC64" s="53">
        <f t="shared" si="8"/>
        <v>7539</v>
      </c>
      <c r="AD64" s="53">
        <f t="shared" si="9"/>
        <v>0</v>
      </c>
      <c r="AF64" s="279">
        <f t="shared" si="10"/>
        <v>2488</v>
      </c>
      <c r="AG64" s="280">
        <f t="shared" si="11"/>
        <v>22392</v>
      </c>
      <c r="AH64" s="53">
        <f t="shared" si="12"/>
        <v>2488</v>
      </c>
      <c r="AI64" s="53">
        <f t="shared" si="13"/>
        <v>0</v>
      </c>
    </row>
    <row r="65" spans="1:35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>IF(Notes!$B$2="June",'AEA Funding and Payments'!$X65,ROUND(N65/10,0))</f>
        <v>27792</v>
      </c>
      <c r="S65" s="221">
        <f>IF(Notes!$B$2="June",'AEA Funding and Payments'!$AC65,ROUND(O65/10,0))</f>
        <v>10414</v>
      </c>
      <c r="T65" s="221">
        <f t="shared" si="14"/>
        <v>38206</v>
      </c>
      <c r="U65" s="237"/>
      <c r="V65" s="279">
        <f t="shared" si="2"/>
        <v>27796</v>
      </c>
      <c r="W65" s="280">
        <f t="shared" si="3"/>
        <v>250164</v>
      </c>
      <c r="X65" s="53">
        <f t="shared" si="4"/>
        <v>27792</v>
      </c>
      <c r="Y65" s="53">
        <f t="shared" si="5"/>
        <v>0</v>
      </c>
      <c r="AA65" s="279">
        <f t="shared" si="6"/>
        <v>10412</v>
      </c>
      <c r="AB65" s="280">
        <f t="shared" si="7"/>
        <v>93708</v>
      </c>
      <c r="AC65" s="53">
        <f t="shared" si="8"/>
        <v>10414</v>
      </c>
      <c r="AD65" s="53">
        <f t="shared" si="9"/>
        <v>0</v>
      </c>
      <c r="AF65" s="279">
        <f t="shared" si="10"/>
        <v>4245</v>
      </c>
      <c r="AG65" s="280">
        <f t="shared" si="11"/>
        <v>38205</v>
      </c>
      <c r="AH65" s="53">
        <f t="shared" si="12"/>
        <v>4248</v>
      </c>
      <c r="AI65" s="53">
        <f t="shared" si="13"/>
        <v>0</v>
      </c>
    </row>
    <row r="66" spans="1:35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>IF(Notes!$B$2="June",'AEA Funding and Payments'!$X66,ROUND(N66/10,0))</f>
        <v>32143</v>
      </c>
      <c r="S66" s="221">
        <f>IF(Notes!$B$2="June",'AEA Funding and Payments'!$AC66,ROUND(O66/10,0))</f>
        <v>13956</v>
      </c>
      <c r="T66" s="221">
        <f t="shared" si="14"/>
        <v>46099</v>
      </c>
      <c r="U66" s="237"/>
      <c r="V66" s="279">
        <f t="shared" si="2"/>
        <v>32140</v>
      </c>
      <c r="W66" s="280">
        <f t="shared" si="3"/>
        <v>289260</v>
      </c>
      <c r="X66" s="53">
        <f t="shared" si="4"/>
        <v>32143</v>
      </c>
      <c r="Y66" s="53">
        <f t="shared" si="5"/>
        <v>0</v>
      </c>
      <c r="AA66" s="279">
        <f t="shared" si="6"/>
        <v>13958</v>
      </c>
      <c r="AB66" s="280">
        <f t="shared" si="7"/>
        <v>125622</v>
      </c>
      <c r="AC66" s="53">
        <f t="shared" si="8"/>
        <v>13956</v>
      </c>
      <c r="AD66" s="53">
        <f t="shared" si="9"/>
        <v>0</v>
      </c>
      <c r="AF66" s="279">
        <f t="shared" si="10"/>
        <v>5122</v>
      </c>
      <c r="AG66" s="280">
        <f t="shared" si="11"/>
        <v>46098</v>
      </c>
      <c r="AH66" s="53">
        <f t="shared" si="12"/>
        <v>5122</v>
      </c>
      <c r="AI66" s="53">
        <f t="shared" si="13"/>
        <v>0</v>
      </c>
    </row>
    <row r="67" spans="1:35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>IF(Notes!$B$2="June",'AEA Funding and Payments'!$X67,ROUND(N67/10,0))</f>
        <v>6376</v>
      </c>
      <c r="S67" s="221">
        <f>IF(Notes!$B$2="June",'AEA Funding and Payments'!$AC67,ROUND(O67/10,0))</f>
        <v>2719</v>
      </c>
      <c r="T67" s="221">
        <f t="shared" si="14"/>
        <v>9095</v>
      </c>
      <c r="U67" s="237"/>
      <c r="V67" s="279">
        <f t="shared" si="2"/>
        <v>6379</v>
      </c>
      <c r="W67" s="280">
        <f t="shared" si="3"/>
        <v>57411</v>
      </c>
      <c r="X67" s="53">
        <f t="shared" si="4"/>
        <v>6376</v>
      </c>
      <c r="Y67" s="53">
        <f t="shared" si="5"/>
        <v>0</v>
      </c>
      <c r="AA67" s="279">
        <f t="shared" si="6"/>
        <v>2715</v>
      </c>
      <c r="AB67" s="280">
        <f t="shared" si="7"/>
        <v>24435</v>
      </c>
      <c r="AC67" s="53">
        <f t="shared" si="8"/>
        <v>2719</v>
      </c>
      <c r="AD67" s="53">
        <f t="shared" si="9"/>
        <v>0</v>
      </c>
      <c r="AF67" s="279">
        <f t="shared" si="10"/>
        <v>1011</v>
      </c>
      <c r="AG67" s="280">
        <f t="shared" si="11"/>
        <v>9099</v>
      </c>
      <c r="AH67" s="53">
        <f t="shared" si="12"/>
        <v>1006</v>
      </c>
      <c r="AI67" s="53">
        <f t="shared" si="13"/>
        <v>0</v>
      </c>
    </row>
    <row r="68" spans="1:35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>IF(Notes!$B$2="June",'AEA Funding and Payments'!$X68,ROUND(N68/10,0))</f>
        <v>22283</v>
      </c>
      <c r="S68" s="221">
        <f>IF(Notes!$B$2="June",'AEA Funding and Payments'!$AC68,ROUND(O68/10,0))</f>
        <v>9486</v>
      </c>
      <c r="T68" s="221">
        <f t="shared" si="14"/>
        <v>31769</v>
      </c>
      <c r="U68" s="237"/>
      <c r="V68" s="279">
        <f t="shared" si="2"/>
        <v>22284</v>
      </c>
      <c r="W68" s="280">
        <f t="shared" si="3"/>
        <v>200556</v>
      </c>
      <c r="X68" s="53">
        <f t="shared" si="4"/>
        <v>22283</v>
      </c>
      <c r="Y68" s="53">
        <f t="shared" si="5"/>
        <v>0</v>
      </c>
      <c r="AA68" s="279">
        <f t="shared" si="6"/>
        <v>9486</v>
      </c>
      <c r="AB68" s="280">
        <f t="shared" si="7"/>
        <v>85374</v>
      </c>
      <c r="AC68" s="53">
        <f t="shared" si="8"/>
        <v>9486</v>
      </c>
      <c r="AD68" s="53">
        <f t="shared" si="9"/>
        <v>0</v>
      </c>
      <c r="AF68" s="279">
        <f t="shared" si="10"/>
        <v>3530</v>
      </c>
      <c r="AG68" s="280">
        <f t="shared" si="11"/>
        <v>31770</v>
      </c>
      <c r="AH68" s="53">
        <f t="shared" si="12"/>
        <v>3530</v>
      </c>
      <c r="AI68" s="53">
        <f t="shared" si="13"/>
        <v>0</v>
      </c>
    </row>
    <row r="69" spans="1:35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>IF(Notes!$B$2="June",'AEA Funding and Payments'!$X69,ROUND(N69/10,0))</f>
        <v>20219</v>
      </c>
      <c r="S69" s="221">
        <f>IF(Notes!$B$2="June",'AEA Funding and Payments'!$AC69,ROUND(O69/10,0))</f>
        <v>7871</v>
      </c>
      <c r="T69" s="221">
        <f t="shared" si="14"/>
        <v>28090</v>
      </c>
      <c r="U69" s="237"/>
      <c r="V69" s="279">
        <f t="shared" si="2"/>
        <v>20215</v>
      </c>
      <c r="W69" s="280">
        <f t="shared" si="3"/>
        <v>181935</v>
      </c>
      <c r="X69" s="53">
        <f t="shared" si="4"/>
        <v>20219</v>
      </c>
      <c r="Y69" s="53">
        <f t="shared" si="5"/>
        <v>0</v>
      </c>
      <c r="AA69" s="279">
        <f t="shared" si="6"/>
        <v>7867</v>
      </c>
      <c r="AB69" s="280">
        <f t="shared" si="7"/>
        <v>70803</v>
      </c>
      <c r="AC69" s="53">
        <f t="shared" si="8"/>
        <v>7871</v>
      </c>
      <c r="AD69" s="53">
        <f t="shared" si="9"/>
        <v>0</v>
      </c>
      <c r="AF69" s="279">
        <f t="shared" si="10"/>
        <v>3120</v>
      </c>
      <c r="AG69" s="280">
        <f t="shared" si="11"/>
        <v>28080</v>
      </c>
      <c r="AH69" s="53">
        <f t="shared" si="12"/>
        <v>3123</v>
      </c>
      <c r="AI69" s="53">
        <f t="shared" si="13"/>
        <v>0</v>
      </c>
    </row>
    <row r="70" spans="1:35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>IF(Notes!$B$2="June",'AEA Funding and Payments'!$X70,ROUND(N70/10,0))</f>
        <v>20154</v>
      </c>
      <c r="S70" s="221">
        <f>IF(Notes!$B$2="June",'AEA Funding and Payments'!$AC70,ROUND(O70/10,0))</f>
        <v>9226</v>
      </c>
      <c r="T70" s="221">
        <f t="shared" si="14"/>
        <v>29380</v>
      </c>
      <c r="U70" s="237"/>
      <c r="V70" s="279">
        <f t="shared" si="2"/>
        <v>20154</v>
      </c>
      <c r="W70" s="280">
        <f t="shared" si="3"/>
        <v>181386</v>
      </c>
      <c r="X70" s="53">
        <f t="shared" si="4"/>
        <v>20154</v>
      </c>
      <c r="Y70" s="53">
        <f t="shared" si="5"/>
        <v>0</v>
      </c>
      <c r="AA70" s="279">
        <f t="shared" si="6"/>
        <v>9228</v>
      </c>
      <c r="AB70" s="280">
        <f t="shared" si="7"/>
        <v>83052</v>
      </c>
      <c r="AC70" s="53">
        <f t="shared" si="8"/>
        <v>9226</v>
      </c>
      <c r="AD70" s="53">
        <f t="shared" si="9"/>
        <v>0</v>
      </c>
      <c r="AF70" s="279">
        <f t="shared" si="10"/>
        <v>3265</v>
      </c>
      <c r="AG70" s="280">
        <f t="shared" si="11"/>
        <v>29385</v>
      </c>
      <c r="AH70" s="53">
        <f t="shared" si="12"/>
        <v>3262</v>
      </c>
      <c r="AI70" s="53">
        <f t="shared" si="13"/>
        <v>0</v>
      </c>
    </row>
    <row r="71" spans="1:35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>IF(Notes!$B$2="June",'AEA Funding and Payments'!$X71,ROUND(N71/10,0))</f>
        <v>31392</v>
      </c>
      <c r="S71" s="221">
        <f>IF(Notes!$B$2="June",'AEA Funding and Payments'!$AC71,ROUND(O71/10,0))</f>
        <v>12212</v>
      </c>
      <c r="T71" s="221">
        <f t="shared" si="14"/>
        <v>43604</v>
      </c>
      <c r="U71" s="237"/>
      <c r="V71" s="279">
        <f t="shared" si="2"/>
        <v>31388</v>
      </c>
      <c r="W71" s="280">
        <f t="shared" si="3"/>
        <v>282492</v>
      </c>
      <c r="X71" s="53">
        <f t="shared" si="4"/>
        <v>31392</v>
      </c>
      <c r="Y71" s="53">
        <f t="shared" si="5"/>
        <v>0</v>
      </c>
      <c r="AA71" s="279">
        <f t="shared" si="6"/>
        <v>12216</v>
      </c>
      <c r="AB71" s="280">
        <f t="shared" si="7"/>
        <v>109944</v>
      </c>
      <c r="AC71" s="53">
        <f t="shared" si="8"/>
        <v>12212</v>
      </c>
      <c r="AD71" s="53">
        <f t="shared" si="9"/>
        <v>0</v>
      </c>
      <c r="AF71" s="279">
        <f t="shared" si="10"/>
        <v>4845</v>
      </c>
      <c r="AG71" s="280">
        <f t="shared" si="11"/>
        <v>43605</v>
      </c>
      <c r="AH71" s="53">
        <f t="shared" si="12"/>
        <v>4844</v>
      </c>
      <c r="AI71" s="53">
        <f t="shared" si="13"/>
        <v>0</v>
      </c>
    </row>
    <row r="72" spans="1:35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>IF(Notes!$B$2="June",'AEA Funding and Payments'!$X72,ROUND(N72/10,0))</f>
        <v>6160</v>
      </c>
      <c r="S72" s="221">
        <f>IF(Notes!$B$2="June",'AEA Funding and Payments'!$AC72,ROUND(O72/10,0))</f>
        <v>2690</v>
      </c>
      <c r="T72" s="221">
        <f t="shared" si="14"/>
        <v>8850</v>
      </c>
      <c r="U72" s="237"/>
      <c r="V72" s="279">
        <f t="shared" si="2"/>
        <v>6161</v>
      </c>
      <c r="W72" s="280">
        <f t="shared" si="3"/>
        <v>55449</v>
      </c>
      <c r="X72" s="53">
        <f t="shared" si="4"/>
        <v>6160</v>
      </c>
      <c r="Y72" s="53">
        <f t="shared" si="5"/>
        <v>0</v>
      </c>
      <c r="AA72" s="279">
        <f t="shared" si="6"/>
        <v>2688</v>
      </c>
      <c r="AB72" s="280">
        <f t="shared" si="7"/>
        <v>24192</v>
      </c>
      <c r="AC72" s="53">
        <f t="shared" si="8"/>
        <v>2690</v>
      </c>
      <c r="AD72" s="53">
        <f t="shared" si="9"/>
        <v>0</v>
      </c>
      <c r="AF72" s="279">
        <f t="shared" si="10"/>
        <v>983</v>
      </c>
      <c r="AG72" s="280">
        <f t="shared" si="11"/>
        <v>8847</v>
      </c>
      <c r="AH72" s="53">
        <f t="shared" si="12"/>
        <v>985</v>
      </c>
      <c r="AI72" s="53">
        <f t="shared" si="13"/>
        <v>0</v>
      </c>
    </row>
    <row r="73" spans="1:35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1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1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>IF(Notes!$B$2="June",'AEA Funding and Payments'!$X73,ROUND(N73/10,0))</f>
        <v>5330</v>
      </c>
      <c r="S73" s="221">
        <f>IF(Notes!$B$2="June",'AEA Funding and Payments'!$AC73,ROUND(O73/10,0))</f>
        <v>4352</v>
      </c>
      <c r="T73" s="221">
        <f t="shared" ref="T73:T136" si="17">SUM(R73:S73)</f>
        <v>9682</v>
      </c>
      <c r="U73" s="237"/>
      <c r="V73" s="279">
        <f t="shared" ref="V73:V136" si="18">ROUND(N73/10,0)</f>
        <v>5328</v>
      </c>
      <c r="W73" s="280">
        <f t="shared" ref="W73:W136" si="19">V73*9</f>
        <v>47952</v>
      </c>
      <c r="X73" s="53">
        <f t="shared" ref="X73:X136" si="20">N73-W73</f>
        <v>5330</v>
      </c>
      <c r="Y73" s="53">
        <f t="shared" ref="Y73:Y136" si="21">W73+X73-N73</f>
        <v>0</v>
      </c>
      <c r="AA73" s="279">
        <f t="shared" ref="AA73:AA136" si="22">ROUND(O73/10,0)</f>
        <v>4354</v>
      </c>
      <c r="AB73" s="280">
        <f t="shared" ref="AB73:AB136" si="23">AA73*9</f>
        <v>39186</v>
      </c>
      <c r="AC73" s="53">
        <f t="shared" ref="AC73:AC136" si="24">O73-AB73</f>
        <v>4352</v>
      </c>
      <c r="AD73" s="53">
        <f t="shared" ref="AD73:AD136" si="25">AB73+AC73-O73</f>
        <v>0</v>
      </c>
      <c r="AF73" s="279">
        <f t="shared" ref="AF73:AF136" si="26">ROUND(L73/10,0)</f>
        <v>1076</v>
      </c>
      <c r="AG73" s="280">
        <f t="shared" ref="AG73:AG136" si="27">AF73*9</f>
        <v>9684</v>
      </c>
      <c r="AH73" s="53">
        <f t="shared" ref="AH73:AH136" si="28">L73-AG73</f>
        <v>1074</v>
      </c>
      <c r="AI73" s="53">
        <f t="shared" ref="AI73:AI136" si="29">AG73+AH73-L73</f>
        <v>0</v>
      </c>
    </row>
    <row r="74" spans="1:35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1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1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>IF(Notes!$B$2="June",'AEA Funding and Payments'!$X74,ROUND(N74/10,0))</f>
        <v>66229</v>
      </c>
      <c r="S74" s="221">
        <f>IF(Notes!$B$2="June",'AEA Funding and Payments'!$AC74,ROUND(O74/10,0))</f>
        <v>25421</v>
      </c>
      <c r="T74" s="221">
        <f t="shared" si="17"/>
        <v>91650</v>
      </c>
      <c r="U74" s="237"/>
      <c r="V74" s="279">
        <f t="shared" si="18"/>
        <v>66225</v>
      </c>
      <c r="W74" s="280">
        <f t="shared" si="19"/>
        <v>596025</v>
      </c>
      <c r="X74" s="53">
        <f t="shared" si="20"/>
        <v>66229</v>
      </c>
      <c r="Y74" s="53">
        <f t="shared" si="21"/>
        <v>0</v>
      </c>
      <c r="AA74" s="279">
        <f t="shared" si="22"/>
        <v>25422</v>
      </c>
      <c r="AB74" s="280">
        <f t="shared" si="23"/>
        <v>228798</v>
      </c>
      <c r="AC74" s="53">
        <f t="shared" si="24"/>
        <v>25421</v>
      </c>
      <c r="AD74" s="53">
        <f t="shared" si="25"/>
        <v>0</v>
      </c>
      <c r="AF74" s="279">
        <f t="shared" si="26"/>
        <v>10183</v>
      </c>
      <c r="AG74" s="280">
        <f t="shared" si="27"/>
        <v>91647</v>
      </c>
      <c r="AH74" s="53">
        <f t="shared" si="28"/>
        <v>10183</v>
      </c>
      <c r="AI74" s="53">
        <f t="shared" si="29"/>
        <v>0</v>
      </c>
    </row>
    <row r="75" spans="1:35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1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1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>IF(Notes!$B$2="June",'AEA Funding and Payments'!$X75,ROUND(N75/10,0))</f>
        <v>24232</v>
      </c>
      <c r="S75" s="221">
        <f>IF(Notes!$B$2="June",'AEA Funding and Payments'!$AC75,ROUND(O75/10,0))</f>
        <v>9880</v>
      </c>
      <c r="T75" s="221">
        <f t="shared" si="17"/>
        <v>34112</v>
      </c>
      <c r="U75" s="237"/>
      <c r="V75" s="279">
        <f t="shared" si="18"/>
        <v>24234</v>
      </c>
      <c r="W75" s="280">
        <f t="shared" si="19"/>
        <v>218106</v>
      </c>
      <c r="X75" s="53">
        <f t="shared" si="20"/>
        <v>24232</v>
      </c>
      <c r="Y75" s="53">
        <f t="shared" si="21"/>
        <v>0</v>
      </c>
      <c r="AA75" s="279">
        <f t="shared" si="22"/>
        <v>9880</v>
      </c>
      <c r="AB75" s="280">
        <f t="shared" si="23"/>
        <v>88920</v>
      </c>
      <c r="AC75" s="53">
        <f t="shared" si="24"/>
        <v>9880</v>
      </c>
      <c r="AD75" s="53">
        <f t="shared" si="25"/>
        <v>0</v>
      </c>
      <c r="AF75" s="279">
        <f t="shared" si="26"/>
        <v>3790</v>
      </c>
      <c r="AG75" s="280">
        <f t="shared" si="27"/>
        <v>34110</v>
      </c>
      <c r="AH75" s="53">
        <f t="shared" si="28"/>
        <v>3794</v>
      </c>
      <c r="AI75" s="53">
        <f t="shared" si="29"/>
        <v>0</v>
      </c>
    </row>
    <row r="76" spans="1:35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1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1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>IF(Notes!$B$2="June",'AEA Funding and Payments'!$X76,ROUND(N76/10,0))</f>
        <v>82300</v>
      </c>
      <c r="S76" s="221">
        <f>IF(Notes!$B$2="June",'AEA Funding and Payments'!$AC76,ROUND(O76/10,0))</f>
        <v>32465</v>
      </c>
      <c r="T76" s="221">
        <f t="shared" si="17"/>
        <v>114765</v>
      </c>
      <c r="U76" s="237"/>
      <c r="V76" s="279">
        <f t="shared" si="18"/>
        <v>82304</v>
      </c>
      <c r="W76" s="280">
        <f t="shared" si="19"/>
        <v>740736</v>
      </c>
      <c r="X76" s="53">
        <f t="shared" si="20"/>
        <v>82300</v>
      </c>
      <c r="Y76" s="53">
        <f t="shared" si="21"/>
        <v>0</v>
      </c>
      <c r="AA76" s="279">
        <f t="shared" si="22"/>
        <v>32468</v>
      </c>
      <c r="AB76" s="280">
        <f t="shared" si="23"/>
        <v>292212</v>
      </c>
      <c r="AC76" s="53">
        <f t="shared" si="24"/>
        <v>32465</v>
      </c>
      <c r="AD76" s="53">
        <f t="shared" si="25"/>
        <v>0</v>
      </c>
      <c r="AF76" s="279">
        <f t="shared" si="26"/>
        <v>12752</v>
      </c>
      <c r="AG76" s="280">
        <f t="shared" si="27"/>
        <v>114768</v>
      </c>
      <c r="AH76" s="53">
        <f t="shared" si="28"/>
        <v>12756</v>
      </c>
      <c r="AI76" s="53">
        <f t="shared" si="29"/>
        <v>0</v>
      </c>
    </row>
    <row r="77" spans="1:35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1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1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>IF(Notes!$B$2="June",'AEA Funding and Payments'!$X77,ROUND(N77/10,0))</f>
        <v>14853</v>
      </c>
      <c r="S77" s="221">
        <f>IF(Notes!$B$2="June",'AEA Funding and Payments'!$AC77,ROUND(O77/10,0))</f>
        <v>5420</v>
      </c>
      <c r="T77" s="221">
        <f t="shared" si="17"/>
        <v>20273</v>
      </c>
      <c r="U77" s="237"/>
      <c r="V77" s="279">
        <f t="shared" si="18"/>
        <v>14852</v>
      </c>
      <c r="W77" s="280">
        <f t="shared" si="19"/>
        <v>133668</v>
      </c>
      <c r="X77" s="53">
        <f t="shared" si="20"/>
        <v>14853</v>
      </c>
      <c r="Y77" s="53">
        <f t="shared" si="21"/>
        <v>0</v>
      </c>
      <c r="AA77" s="279">
        <f t="shared" si="22"/>
        <v>5425</v>
      </c>
      <c r="AB77" s="280">
        <f t="shared" si="23"/>
        <v>48825</v>
      </c>
      <c r="AC77" s="53">
        <f t="shared" si="24"/>
        <v>5420</v>
      </c>
      <c r="AD77" s="53">
        <f t="shared" si="25"/>
        <v>0</v>
      </c>
      <c r="AF77" s="279">
        <f t="shared" si="26"/>
        <v>2253</v>
      </c>
      <c r="AG77" s="280">
        <f t="shared" si="27"/>
        <v>20277</v>
      </c>
      <c r="AH77" s="53">
        <f t="shared" si="28"/>
        <v>2253</v>
      </c>
      <c r="AI77" s="53">
        <f t="shared" si="29"/>
        <v>0</v>
      </c>
    </row>
    <row r="78" spans="1:35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1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1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>IF(Notes!$B$2="June",'AEA Funding and Payments'!$X78,ROUND(N78/10,0))</f>
        <v>107081</v>
      </c>
      <c r="S78" s="221">
        <f>IF(Notes!$B$2="June",'AEA Funding and Payments'!$AC78,ROUND(O78/10,0))</f>
        <v>41109</v>
      </c>
      <c r="T78" s="221">
        <f t="shared" si="17"/>
        <v>148190</v>
      </c>
      <c r="U78" s="237"/>
      <c r="V78" s="279">
        <f t="shared" si="18"/>
        <v>107082</v>
      </c>
      <c r="W78" s="280">
        <f t="shared" si="19"/>
        <v>963738</v>
      </c>
      <c r="X78" s="53">
        <f t="shared" si="20"/>
        <v>107081</v>
      </c>
      <c r="Y78" s="53">
        <f t="shared" si="21"/>
        <v>0</v>
      </c>
      <c r="AA78" s="279">
        <f t="shared" si="22"/>
        <v>41105</v>
      </c>
      <c r="AB78" s="280">
        <f t="shared" si="23"/>
        <v>369945</v>
      </c>
      <c r="AC78" s="53">
        <f t="shared" si="24"/>
        <v>41109</v>
      </c>
      <c r="AD78" s="53">
        <f t="shared" si="25"/>
        <v>0</v>
      </c>
      <c r="AF78" s="279">
        <f t="shared" si="26"/>
        <v>16465</v>
      </c>
      <c r="AG78" s="280">
        <f t="shared" si="27"/>
        <v>148185</v>
      </c>
      <c r="AH78" s="53">
        <f t="shared" si="28"/>
        <v>16468</v>
      </c>
      <c r="AI78" s="53">
        <f t="shared" si="29"/>
        <v>0</v>
      </c>
    </row>
    <row r="79" spans="1:35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1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1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>IF(Notes!$B$2="June",'AEA Funding and Payments'!$X79,ROUND(N79/10,0))</f>
        <v>8892</v>
      </c>
      <c r="S79" s="221">
        <f>IF(Notes!$B$2="June",'AEA Funding and Payments'!$AC79,ROUND(O79/10,0))</f>
        <v>4036</v>
      </c>
      <c r="T79" s="221">
        <f t="shared" si="17"/>
        <v>12928</v>
      </c>
      <c r="U79" s="237"/>
      <c r="V79" s="279">
        <f t="shared" si="18"/>
        <v>8894</v>
      </c>
      <c r="W79" s="280">
        <f t="shared" si="19"/>
        <v>80046</v>
      </c>
      <c r="X79" s="53">
        <f t="shared" si="20"/>
        <v>8892</v>
      </c>
      <c r="Y79" s="53">
        <f t="shared" si="21"/>
        <v>0</v>
      </c>
      <c r="AA79" s="279">
        <f t="shared" si="22"/>
        <v>4040</v>
      </c>
      <c r="AB79" s="280">
        <f t="shared" si="23"/>
        <v>36360</v>
      </c>
      <c r="AC79" s="53">
        <f t="shared" si="24"/>
        <v>4036</v>
      </c>
      <c r="AD79" s="53">
        <f t="shared" si="25"/>
        <v>0</v>
      </c>
      <c r="AF79" s="279">
        <f t="shared" si="26"/>
        <v>1437</v>
      </c>
      <c r="AG79" s="280">
        <f t="shared" si="27"/>
        <v>12933</v>
      </c>
      <c r="AH79" s="53">
        <f t="shared" si="28"/>
        <v>1438</v>
      </c>
      <c r="AI79" s="53">
        <f t="shared" si="29"/>
        <v>0</v>
      </c>
    </row>
    <row r="80" spans="1:35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1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1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>IF(Notes!$B$2="June",'AEA Funding and Payments'!$X80,ROUND(N80/10,0))</f>
        <v>9694</v>
      </c>
      <c r="S80" s="221">
        <f>IF(Notes!$B$2="June",'AEA Funding and Payments'!$AC80,ROUND(O80/10,0))</f>
        <v>3343</v>
      </c>
      <c r="T80" s="221">
        <f t="shared" si="17"/>
        <v>13037</v>
      </c>
      <c r="U80" s="237"/>
      <c r="V80" s="279">
        <f t="shared" si="18"/>
        <v>9690</v>
      </c>
      <c r="W80" s="280">
        <f t="shared" si="19"/>
        <v>87210</v>
      </c>
      <c r="X80" s="53">
        <f t="shared" si="20"/>
        <v>9694</v>
      </c>
      <c r="Y80" s="53">
        <f t="shared" si="21"/>
        <v>0</v>
      </c>
      <c r="AA80" s="279">
        <f t="shared" si="22"/>
        <v>3341</v>
      </c>
      <c r="AB80" s="280">
        <f t="shared" si="23"/>
        <v>30069</v>
      </c>
      <c r="AC80" s="53">
        <f t="shared" si="24"/>
        <v>3343</v>
      </c>
      <c r="AD80" s="53">
        <f t="shared" si="25"/>
        <v>0</v>
      </c>
      <c r="AF80" s="279">
        <f t="shared" si="26"/>
        <v>1448</v>
      </c>
      <c r="AG80" s="280">
        <f t="shared" si="27"/>
        <v>13032</v>
      </c>
      <c r="AH80" s="53">
        <f t="shared" si="28"/>
        <v>1448</v>
      </c>
      <c r="AI80" s="53">
        <f t="shared" si="29"/>
        <v>0</v>
      </c>
    </row>
    <row r="81" spans="1:35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1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1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>IF(Notes!$B$2="June",'AEA Funding and Payments'!$X81,ROUND(N81/10,0))</f>
        <v>16582</v>
      </c>
      <c r="S81" s="221">
        <f>IF(Notes!$B$2="June",'AEA Funding and Payments'!$AC81,ROUND(O81/10,0))</f>
        <v>6540</v>
      </c>
      <c r="T81" s="221">
        <f t="shared" si="17"/>
        <v>23122</v>
      </c>
      <c r="U81" s="237"/>
      <c r="V81" s="279">
        <f t="shared" si="18"/>
        <v>16578</v>
      </c>
      <c r="W81" s="280">
        <f t="shared" si="19"/>
        <v>149202</v>
      </c>
      <c r="X81" s="53">
        <f t="shared" si="20"/>
        <v>16582</v>
      </c>
      <c r="Y81" s="53">
        <f t="shared" si="21"/>
        <v>0</v>
      </c>
      <c r="AA81" s="279">
        <f t="shared" si="22"/>
        <v>6540</v>
      </c>
      <c r="AB81" s="280">
        <f t="shared" si="23"/>
        <v>58860</v>
      </c>
      <c r="AC81" s="53">
        <f t="shared" si="24"/>
        <v>6540</v>
      </c>
      <c r="AD81" s="53">
        <f t="shared" si="25"/>
        <v>0</v>
      </c>
      <c r="AF81" s="279">
        <f t="shared" si="26"/>
        <v>2569</v>
      </c>
      <c r="AG81" s="280">
        <f t="shared" si="27"/>
        <v>23121</v>
      </c>
      <c r="AH81" s="53">
        <f t="shared" si="28"/>
        <v>2566</v>
      </c>
      <c r="AI81" s="53">
        <f t="shared" si="29"/>
        <v>0</v>
      </c>
    </row>
    <row r="82" spans="1:35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1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1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>IF(Notes!$B$2="June",'AEA Funding and Payments'!$X82,ROUND(N82/10,0))</f>
        <v>9644</v>
      </c>
      <c r="S82" s="221">
        <f>IF(Notes!$B$2="June",'AEA Funding and Payments'!$AC82,ROUND(O82/10,0))</f>
        <v>3325</v>
      </c>
      <c r="T82" s="221">
        <f t="shared" si="17"/>
        <v>12969</v>
      </c>
      <c r="U82" s="237"/>
      <c r="V82" s="279">
        <f t="shared" si="18"/>
        <v>9646</v>
      </c>
      <c r="W82" s="280">
        <f t="shared" si="19"/>
        <v>86814</v>
      </c>
      <c r="X82" s="53">
        <f t="shared" si="20"/>
        <v>9644</v>
      </c>
      <c r="Y82" s="53">
        <f t="shared" si="21"/>
        <v>0</v>
      </c>
      <c r="AA82" s="279">
        <f t="shared" si="22"/>
        <v>3326</v>
      </c>
      <c r="AB82" s="280">
        <f t="shared" si="23"/>
        <v>29934</v>
      </c>
      <c r="AC82" s="53">
        <f t="shared" si="24"/>
        <v>3325</v>
      </c>
      <c r="AD82" s="53">
        <f t="shared" si="25"/>
        <v>0</v>
      </c>
      <c r="AF82" s="279">
        <f t="shared" si="26"/>
        <v>1441</v>
      </c>
      <c r="AG82" s="280">
        <f t="shared" si="27"/>
        <v>12969</v>
      </c>
      <c r="AH82" s="53">
        <f t="shared" si="28"/>
        <v>1444</v>
      </c>
      <c r="AI82" s="53">
        <f t="shared" si="29"/>
        <v>0</v>
      </c>
    </row>
    <row r="83" spans="1:35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1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1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>IF(Notes!$B$2="June",'AEA Funding and Payments'!$X83,ROUND(N83/10,0))</f>
        <v>8550</v>
      </c>
      <c r="S83" s="221">
        <f>IF(Notes!$B$2="June",'AEA Funding and Payments'!$AC83,ROUND(O83/10,0))</f>
        <v>3327</v>
      </c>
      <c r="T83" s="221">
        <f t="shared" si="17"/>
        <v>11877</v>
      </c>
      <c r="U83" s="237"/>
      <c r="V83" s="279">
        <f t="shared" si="18"/>
        <v>8554</v>
      </c>
      <c r="W83" s="280">
        <f t="shared" si="19"/>
        <v>76986</v>
      </c>
      <c r="X83" s="53">
        <f t="shared" si="20"/>
        <v>8550</v>
      </c>
      <c r="Y83" s="53">
        <f t="shared" si="21"/>
        <v>0</v>
      </c>
      <c r="AA83" s="279">
        <f t="shared" si="22"/>
        <v>3329</v>
      </c>
      <c r="AB83" s="280">
        <f t="shared" si="23"/>
        <v>29961</v>
      </c>
      <c r="AC83" s="53">
        <f t="shared" si="24"/>
        <v>3327</v>
      </c>
      <c r="AD83" s="53">
        <f t="shared" si="25"/>
        <v>0</v>
      </c>
      <c r="AF83" s="279">
        <f t="shared" si="26"/>
        <v>1320</v>
      </c>
      <c r="AG83" s="280">
        <f t="shared" si="27"/>
        <v>11880</v>
      </c>
      <c r="AH83" s="53">
        <f t="shared" si="28"/>
        <v>1323</v>
      </c>
      <c r="AI83" s="53">
        <f t="shared" si="29"/>
        <v>0</v>
      </c>
    </row>
    <row r="84" spans="1:35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1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1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>IF(Notes!$B$2="June",'AEA Funding and Payments'!$X84,ROUND(N84/10,0))</f>
        <v>199044</v>
      </c>
      <c r="S84" s="221">
        <f>IF(Notes!$B$2="June",'AEA Funding and Payments'!$AC84,ROUND(O84/10,0))</f>
        <v>79018</v>
      </c>
      <c r="T84" s="221">
        <f t="shared" si="17"/>
        <v>278062</v>
      </c>
      <c r="U84" s="237"/>
      <c r="V84" s="279">
        <f t="shared" si="18"/>
        <v>199043</v>
      </c>
      <c r="W84" s="280">
        <f t="shared" si="19"/>
        <v>1791387</v>
      </c>
      <c r="X84" s="53">
        <f t="shared" si="20"/>
        <v>199044</v>
      </c>
      <c r="Y84" s="53">
        <f t="shared" si="21"/>
        <v>0</v>
      </c>
      <c r="AA84" s="279">
        <f t="shared" si="22"/>
        <v>79019</v>
      </c>
      <c r="AB84" s="280">
        <f t="shared" si="23"/>
        <v>711171</v>
      </c>
      <c r="AC84" s="53">
        <f t="shared" si="24"/>
        <v>79018</v>
      </c>
      <c r="AD84" s="53">
        <f t="shared" si="25"/>
        <v>0</v>
      </c>
      <c r="AF84" s="279">
        <f t="shared" si="26"/>
        <v>30896</v>
      </c>
      <c r="AG84" s="280">
        <f t="shared" si="27"/>
        <v>278064</v>
      </c>
      <c r="AH84" s="53">
        <f t="shared" si="28"/>
        <v>30894</v>
      </c>
      <c r="AI84" s="53">
        <f t="shared" si="29"/>
        <v>0</v>
      </c>
    </row>
    <row r="85" spans="1:35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1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1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>IF(Notes!$B$2="June",'AEA Funding and Payments'!$X85,ROUND(N85/10,0))</f>
        <v>28272</v>
      </c>
      <c r="S85" s="221">
        <f>IF(Notes!$B$2="June",'AEA Funding and Payments'!$AC85,ROUND(O85/10,0))</f>
        <v>11751</v>
      </c>
      <c r="T85" s="221">
        <f t="shared" si="17"/>
        <v>40023</v>
      </c>
      <c r="U85" s="237"/>
      <c r="V85" s="279">
        <f t="shared" si="18"/>
        <v>28276</v>
      </c>
      <c r="W85" s="280">
        <f t="shared" si="19"/>
        <v>254484</v>
      </c>
      <c r="X85" s="53">
        <f t="shared" si="20"/>
        <v>28272</v>
      </c>
      <c r="Y85" s="53">
        <f t="shared" si="21"/>
        <v>0</v>
      </c>
      <c r="AA85" s="279">
        <f t="shared" si="22"/>
        <v>11752</v>
      </c>
      <c r="AB85" s="280">
        <f t="shared" si="23"/>
        <v>105768</v>
      </c>
      <c r="AC85" s="53">
        <f t="shared" si="24"/>
        <v>11751</v>
      </c>
      <c r="AD85" s="53">
        <f t="shared" si="25"/>
        <v>0</v>
      </c>
      <c r="AF85" s="279">
        <f t="shared" si="26"/>
        <v>4448</v>
      </c>
      <c r="AG85" s="280">
        <f t="shared" si="27"/>
        <v>40032</v>
      </c>
      <c r="AH85" s="53">
        <f t="shared" si="28"/>
        <v>4443</v>
      </c>
      <c r="AI85" s="53">
        <f t="shared" si="29"/>
        <v>0</v>
      </c>
    </row>
    <row r="86" spans="1:35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1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1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>IF(Notes!$B$2="June",'AEA Funding and Payments'!$X86,ROUND(N86/10,0))</f>
        <v>72549</v>
      </c>
      <c r="S86" s="221">
        <f>IF(Notes!$B$2="June",'AEA Funding and Payments'!$AC86,ROUND(O86/10,0))</f>
        <v>25018</v>
      </c>
      <c r="T86" s="221">
        <f t="shared" si="17"/>
        <v>97567</v>
      </c>
      <c r="U86" s="237"/>
      <c r="V86" s="279">
        <f t="shared" si="18"/>
        <v>72548</v>
      </c>
      <c r="W86" s="280">
        <f t="shared" si="19"/>
        <v>652932</v>
      </c>
      <c r="X86" s="53">
        <f t="shared" si="20"/>
        <v>72549</v>
      </c>
      <c r="Y86" s="53">
        <f t="shared" si="21"/>
        <v>0</v>
      </c>
      <c r="AA86" s="279">
        <f t="shared" si="22"/>
        <v>25014</v>
      </c>
      <c r="AB86" s="280">
        <f t="shared" si="23"/>
        <v>225126</v>
      </c>
      <c r="AC86" s="53">
        <f t="shared" si="24"/>
        <v>25018</v>
      </c>
      <c r="AD86" s="53">
        <f t="shared" si="25"/>
        <v>0</v>
      </c>
      <c r="AF86" s="279">
        <f t="shared" si="26"/>
        <v>10840</v>
      </c>
      <c r="AG86" s="280">
        <f t="shared" si="27"/>
        <v>97560</v>
      </c>
      <c r="AH86" s="53">
        <f t="shared" si="28"/>
        <v>10843</v>
      </c>
      <c r="AI86" s="53">
        <f t="shared" si="29"/>
        <v>0</v>
      </c>
    </row>
    <row r="87" spans="1:35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1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1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>IF(Notes!$B$2="June",'AEA Funding and Payments'!$X87,ROUND(N87/10,0))</f>
        <v>8526</v>
      </c>
      <c r="S87" s="221">
        <f>IF(Notes!$B$2="June",'AEA Funding and Payments'!$AC87,ROUND(O87/10,0))</f>
        <v>4605</v>
      </c>
      <c r="T87" s="221">
        <f t="shared" si="17"/>
        <v>13131</v>
      </c>
      <c r="U87" s="237"/>
      <c r="V87" s="279">
        <f t="shared" si="18"/>
        <v>8528</v>
      </c>
      <c r="W87" s="280">
        <f t="shared" si="19"/>
        <v>76752</v>
      </c>
      <c r="X87" s="53">
        <f t="shared" si="20"/>
        <v>8526</v>
      </c>
      <c r="Y87" s="53">
        <f t="shared" si="21"/>
        <v>0</v>
      </c>
      <c r="AA87" s="279">
        <f t="shared" si="22"/>
        <v>4602</v>
      </c>
      <c r="AB87" s="280">
        <f t="shared" si="23"/>
        <v>41418</v>
      </c>
      <c r="AC87" s="53">
        <f t="shared" si="24"/>
        <v>4605</v>
      </c>
      <c r="AD87" s="53">
        <f t="shared" si="25"/>
        <v>0</v>
      </c>
      <c r="AF87" s="279">
        <f t="shared" si="26"/>
        <v>1459</v>
      </c>
      <c r="AG87" s="280">
        <f t="shared" si="27"/>
        <v>13131</v>
      </c>
      <c r="AH87" s="53">
        <f t="shared" si="28"/>
        <v>1458</v>
      </c>
      <c r="AI87" s="53">
        <f t="shared" si="29"/>
        <v>0</v>
      </c>
    </row>
    <row r="88" spans="1:35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1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1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>IF(Notes!$B$2="June",'AEA Funding and Payments'!$X88,ROUND(N88/10,0))</f>
        <v>303406</v>
      </c>
      <c r="S88" s="221">
        <f>IF(Notes!$B$2="June",'AEA Funding and Payments'!$AC88,ROUND(O88/10,0))</f>
        <v>119685</v>
      </c>
      <c r="T88" s="221">
        <f t="shared" si="17"/>
        <v>423091</v>
      </c>
      <c r="U88" s="237"/>
      <c r="V88" s="279">
        <f t="shared" si="18"/>
        <v>303406</v>
      </c>
      <c r="W88" s="280">
        <f t="shared" si="19"/>
        <v>2730654</v>
      </c>
      <c r="X88" s="53">
        <f t="shared" si="20"/>
        <v>303406</v>
      </c>
      <c r="Y88" s="53">
        <f t="shared" si="21"/>
        <v>0</v>
      </c>
      <c r="AA88" s="279">
        <f t="shared" si="22"/>
        <v>119690</v>
      </c>
      <c r="AB88" s="280">
        <f t="shared" si="23"/>
        <v>1077210</v>
      </c>
      <c r="AC88" s="53">
        <f t="shared" si="24"/>
        <v>119685</v>
      </c>
      <c r="AD88" s="53">
        <f t="shared" si="25"/>
        <v>0</v>
      </c>
      <c r="AF88" s="279">
        <f t="shared" si="26"/>
        <v>47011</v>
      </c>
      <c r="AG88" s="280">
        <f t="shared" si="27"/>
        <v>423099</v>
      </c>
      <c r="AH88" s="53">
        <f t="shared" si="28"/>
        <v>47007</v>
      </c>
      <c r="AI88" s="53">
        <f t="shared" si="29"/>
        <v>0</v>
      </c>
    </row>
    <row r="89" spans="1:35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1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1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>IF(Notes!$B$2="June",'AEA Funding and Payments'!$X89,ROUND(N89/10,0))</f>
        <v>23210</v>
      </c>
      <c r="S89" s="221">
        <f>IF(Notes!$B$2="June",'AEA Funding and Payments'!$AC89,ROUND(O89/10,0))</f>
        <v>8694</v>
      </c>
      <c r="T89" s="221">
        <f t="shared" si="17"/>
        <v>31904</v>
      </c>
      <c r="U89" s="237"/>
      <c r="V89" s="279">
        <f t="shared" si="18"/>
        <v>23206</v>
      </c>
      <c r="W89" s="280">
        <f t="shared" si="19"/>
        <v>208854</v>
      </c>
      <c r="X89" s="53">
        <f t="shared" si="20"/>
        <v>23210</v>
      </c>
      <c r="Y89" s="53">
        <f t="shared" si="21"/>
        <v>0</v>
      </c>
      <c r="AA89" s="279">
        <f t="shared" si="22"/>
        <v>8693</v>
      </c>
      <c r="AB89" s="280">
        <f t="shared" si="23"/>
        <v>78237</v>
      </c>
      <c r="AC89" s="53">
        <f t="shared" si="24"/>
        <v>8694</v>
      </c>
      <c r="AD89" s="53">
        <f t="shared" si="25"/>
        <v>0</v>
      </c>
      <c r="AF89" s="279">
        <f t="shared" si="26"/>
        <v>3544</v>
      </c>
      <c r="AG89" s="280">
        <f t="shared" si="27"/>
        <v>31896</v>
      </c>
      <c r="AH89" s="53">
        <f t="shared" si="28"/>
        <v>3548</v>
      </c>
      <c r="AI89" s="53">
        <f t="shared" si="29"/>
        <v>0</v>
      </c>
    </row>
    <row r="90" spans="1:35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1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1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>IF(Notes!$B$2="June",'AEA Funding and Payments'!$X90,ROUND(N90/10,0))</f>
        <v>30374</v>
      </c>
      <c r="S90" s="221">
        <f>IF(Notes!$B$2="June",'AEA Funding and Payments'!$AC90,ROUND(O90/10,0))</f>
        <v>15327</v>
      </c>
      <c r="T90" s="221">
        <f t="shared" si="17"/>
        <v>45701</v>
      </c>
      <c r="U90" s="237"/>
      <c r="V90" s="279">
        <f t="shared" si="18"/>
        <v>30374</v>
      </c>
      <c r="W90" s="280">
        <f t="shared" si="19"/>
        <v>273366</v>
      </c>
      <c r="X90" s="53">
        <f t="shared" si="20"/>
        <v>30374</v>
      </c>
      <c r="Y90" s="53">
        <f t="shared" si="21"/>
        <v>0</v>
      </c>
      <c r="AA90" s="279">
        <f t="shared" si="22"/>
        <v>15324</v>
      </c>
      <c r="AB90" s="280">
        <f t="shared" si="23"/>
        <v>137916</v>
      </c>
      <c r="AC90" s="53">
        <f t="shared" si="24"/>
        <v>15327</v>
      </c>
      <c r="AD90" s="53">
        <f t="shared" si="25"/>
        <v>0</v>
      </c>
      <c r="AF90" s="279">
        <f t="shared" si="26"/>
        <v>5078</v>
      </c>
      <c r="AG90" s="280">
        <f t="shared" si="27"/>
        <v>45702</v>
      </c>
      <c r="AH90" s="53">
        <f t="shared" si="28"/>
        <v>5074</v>
      </c>
      <c r="AI90" s="53">
        <f t="shared" si="29"/>
        <v>0</v>
      </c>
    </row>
    <row r="91" spans="1:35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1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1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>IF(Notes!$B$2="June",'AEA Funding and Payments'!$X91,ROUND(N91/10,0))</f>
        <v>3661</v>
      </c>
      <c r="S91" s="221">
        <f>IF(Notes!$B$2="June",'AEA Funding and Payments'!$AC91,ROUND(O91/10,0))</f>
        <v>2111</v>
      </c>
      <c r="T91" s="221">
        <f t="shared" si="17"/>
        <v>5772</v>
      </c>
      <c r="U91" s="237"/>
      <c r="V91" s="279">
        <f t="shared" si="18"/>
        <v>3660</v>
      </c>
      <c r="W91" s="280">
        <f t="shared" si="19"/>
        <v>32940</v>
      </c>
      <c r="X91" s="53">
        <f t="shared" si="20"/>
        <v>3661</v>
      </c>
      <c r="Y91" s="53">
        <f t="shared" si="21"/>
        <v>0</v>
      </c>
      <c r="AA91" s="279">
        <f t="shared" si="22"/>
        <v>2112</v>
      </c>
      <c r="AB91" s="280">
        <f t="shared" si="23"/>
        <v>19008</v>
      </c>
      <c r="AC91" s="53">
        <f t="shared" si="24"/>
        <v>2111</v>
      </c>
      <c r="AD91" s="53">
        <f t="shared" si="25"/>
        <v>0</v>
      </c>
      <c r="AF91" s="279">
        <f t="shared" si="26"/>
        <v>641</v>
      </c>
      <c r="AG91" s="280">
        <f t="shared" si="27"/>
        <v>5769</v>
      </c>
      <c r="AH91" s="53">
        <f t="shared" si="28"/>
        <v>644</v>
      </c>
      <c r="AI91" s="53">
        <f t="shared" si="29"/>
        <v>0</v>
      </c>
    </row>
    <row r="92" spans="1:35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1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1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>IF(Notes!$B$2="June",'AEA Funding and Payments'!$X92,ROUND(N92/10,0))</f>
        <v>42258</v>
      </c>
      <c r="S92" s="221">
        <f>IF(Notes!$B$2="June",'AEA Funding and Payments'!$AC92,ROUND(O92/10,0))</f>
        <v>17989</v>
      </c>
      <c r="T92" s="221">
        <f t="shared" si="17"/>
        <v>60247</v>
      </c>
      <c r="U92" s="237"/>
      <c r="V92" s="279">
        <f t="shared" si="18"/>
        <v>42254</v>
      </c>
      <c r="W92" s="280">
        <f t="shared" si="19"/>
        <v>380286</v>
      </c>
      <c r="X92" s="53">
        <f t="shared" si="20"/>
        <v>42258</v>
      </c>
      <c r="Y92" s="53">
        <f t="shared" si="21"/>
        <v>0</v>
      </c>
      <c r="AA92" s="279">
        <f t="shared" si="22"/>
        <v>17987</v>
      </c>
      <c r="AB92" s="280">
        <f t="shared" si="23"/>
        <v>161883</v>
      </c>
      <c r="AC92" s="53">
        <f t="shared" si="24"/>
        <v>17989</v>
      </c>
      <c r="AD92" s="53">
        <f t="shared" si="25"/>
        <v>0</v>
      </c>
      <c r="AF92" s="279">
        <f t="shared" si="26"/>
        <v>6694</v>
      </c>
      <c r="AG92" s="280">
        <f t="shared" si="27"/>
        <v>60246</v>
      </c>
      <c r="AH92" s="53">
        <f t="shared" si="28"/>
        <v>6689</v>
      </c>
      <c r="AI92" s="53">
        <f t="shared" si="29"/>
        <v>0</v>
      </c>
    </row>
    <row r="93" spans="1:35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1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1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>IF(Notes!$B$2="June",'AEA Funding and Payments'!$X93,ROUND(N93/10,0))</f>
        <v>17851</v>
      </c>
      <c r="S93" s="221">
        <f>IF(Notes!$B$2="June",'AEA Funding and Payments'!$AC93,ROUND(O93/10,0))</f>
        <v>7279</v>
      </c>
      <c r="T93" s="221">
        <f t="shared" si="17"/>
        <v>25130</v>
      </c>
      <c r="U93" s="237"/>
      <c r="V93" s="279">
        <f t="shared" si="18"/>
        <v>17856</v>
      </c>
      <c r="W93" s="280">
        <f t="shared" si="19"/>
        <v>160704</v>
      </c>
      <c r="X93" s="53">
        <f t="shared" si="20"/>
        <v>17851</v>
      </c>
      <c r="Y93" s="53">
        <f t="shared" si="21"/>
        <v>0</v>
      </c>
      <c r="AA93" s="279">
        <f t="shared" si="22"/>
        <v>7277</v>
      </c>
      <c r="AB93" s="280">
        <f t="shared" si="23"/>
        <v>65493</v>
      </c>
      <c r="AC93" s="53">
        <f t="shared" si="24"/>
        <v>7279</v>
      </c>
      <c r="AD93" s="53">
        <f t="shared" si="25"/>
        <v>0</v>
      </c>
      <c r="AF93" s="279">
        <f t="shared" si="26"/>
        <v>2793</v>
      </c>
      <c r="AG93" s="280">
        <f t="shared" si="27"/>
        <v>25137</v>
      </c>
      <c r="AH93" s="53">
        <f t="shared" si="28"/>
        <v>2788</v>
      </c>
      <c r="AI93" s="53">
        <f t="shared" si="29"/>
        <v>0</v>
      </c>
    </row>
    <row r="94" spans="1:35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1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1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>IF(Notes!$B$2="June",'AEA Funding and Payments'!$X94,ROUND(N94/10,0))</f>
        <v>685672</v>
      </c>
      <c r="S94" s="221">
        <f>IF(Notes!$B$2="June",'AEA Funding and Payments'!$AC94,ROUND(O94/10,0))</f>
        <v>236415</v>
      </c>
      <c r="T94" s="221">
        <f t="shared" si="17"/>
        <v>922087</v>
      </c>
      <c r="U94" s="237"/>
      <c r="V94" s="279">
        <f t="shared" si="18"/>
        <v>685672</v>
      </c>
      <c r="W94" s="280">
        <f t="shared" si="19"/>
        <v>6171048</v>
      </c>
      <c r="X94" s="53">
        <f t="shared" si="20"/>
        <v>685672</v>
      </c>
      <c r="Y94" s="53">
        <f t="shared" si="21"/>
        <v>0</v>
      </c>
      <c r="AA94" s="279">
        <f t="shared" si="22"/>
        <v>236418</v>
      </c>
      <c r="AB94" s="280">
        <f t="shared" si="23"/>
        <v>2127762</v>
      </c>
      <c r="AC94" s="53">
        <f t="shared" si="24"/>
        <v>236415</v>
      </c>
      <c r="AD94" s="53">
        <f t="shared" si="25"/>
        <v>0</v>
      </c>
      <c r="AF94" s="279">
        <f t="shared" si="26"/>
        <v>102454</v>
      </c>
      <c r="AG94" s="280">
        <f t="shared" si="27"/>
        <v>922086</v>
      </c>
      <c r="AH94" s="53">
        <f t="shared" si="28"/>
        <v>102458</v>
      </c>
      <c r="AI94" s="53">
        <f t="shared" si="29"/>
        <v>0</v>
      </c>
    </row>
    <row r="95" spans="1:35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1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1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>IF(Notes!$B$2="June",'AEA Funding and Payments'!$X95,ROUND(N95/10,0))</f>
        <v>1869</v>
      </c>
      <c r="S95" s="221">
        <f>IF(Notes!$B$2="June",'AEA Funding and Payments'!$AC95,ROUND(O95/10,0))</f>
        <v>1361</v>
      </c>
      <c r="T95" s="221">
        <f t="shared" si="17"/>
        <v>3230</v>
      </c>
      <c r="U95" s="237"/>
      <c r="V95" s="279">
        <f t="shared" si="18"/>
        <v>1872</v>
      </c>
      <c r="W95" s="280">
        <f t="shared" si="19"/>
        <v>16848</v>
      </c>
      <c r="X95" s="53">
        <f t="shared" si="20"/>
        <v>1869</v>
      </c>
      <c r="Y95" s="53">
        <f t="shared" si="21"/>
        <v>0</v>
      </c>
      <c r="AA95" s="279">
        <f t="shared" si="22"/>
        <v>1363</v>
      </c>
      <c r="AB95" s="280">
        <f t="shared" si="23"/>
        <v>12267</v>
      </c>
      <c r="AC95" s="53">
        <f t="shared" si="24"/>
        <v>1361</v>
      </c>
      <c r="AD95" s="53">
        <f t="shared" si="25"/>
        <v>0</v>
      </c>
      <c r="AF95" s="279">
        <f t="shared" si="26"/>
        <v>359</v>
      </c>
      <c r="AG95" s="280">
        <f t="shared" si="27"/>
        <v>3231</v>
      </c>
      <c r="AH95" s="53">
        <f t="shared" si="28"/>
        <v>363</v>
      </c>
      <c r="AI95" s="53">
        <f t="shared" si="29"/>
        <v>0</v>
      </c>
    </row>
    <row r="96" spans="1:35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1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1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>IF(Notes!$B$2="June",'AEA Funding and Payments'!$X96,ROUND(N96/10,0))</f>
        <v>18143</v>
      </c>
      <c r="S96" s="221">
        <f>IF(Notes!$B$2="June",'AEA Funding and Payments'!$AC96,ROUND(O96/10,0))</f>
        <v>7414</v>
      </c>
      <c r="T96" s="221">
        <f t="shared" si="17"/>
        <v>25557</v>
      </c>
      <c r="U96" s="237"/>
      <c r="V96" s="279">
        <f t="shared" si="18"/>
        <v>18141</v>
      </c>
      <c r="W96" s="280">
        <f t="shared" si="19"/>
        <v>163269</v>
      </c>
      <c r="X96" s="53">
        <f t="shared" si="20"/>
        <v>18143</v>
      </c>
      <c r="Y96" s="53">
        <f t="shared" si="21"/>
        <v>0</v>
      </c>
      <c r="AA96" s="279">
        <f t="shared" si="22"/>
        <v>7412</v>
      </c>
      <c r="AB96" s="280">
        <f t="shared" si="23"/>
        <v>66708</v>
      </c>
      <c r="AC96" s="53">
        <f t="shared" si="24"/>
        <v>7414</v>
      </c>
      <c r="AD96" s="53">
        <f t="shared" si="25"/>
        <v>0</v>
      </c>
      <c r="AF96" s="279">
        <f t="shared" si="26"/>
        <v>2839</v>
      </c>
      <c r="AG96" s="280">
        <f t="shared" si="27"/>
        <v>25551</v>
      </c>
      <c r="AH96" s="53">
        <f t="shared" si="28"/>
        <v>2842</v>
      </c>
      <c r="AI96" s="53">
        <f t="shared" si="29"/>
        <v>0</v>
      </c>
    </row>
    <row r="97" spans="1:35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1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1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>IF(Notes!$B$2="June",'AEA Funding and Payments'!$X97,ROUND(N97/10,0))</f>
        <v>219199</v>
      </c>
      <c r="S97" s="221">
        <f>IF(Notes!$B$2="June",'AEA Funding and Payments'!$AC97,ROUND(O97/10,0))</f>
        <v>102648</v>
      </c>
      <c r="T97" s="221">
        <f t="shared" si="17"/>
        <v>321847</v>
      </c>
      <c r="U97" s="237"/>
      <c r="V97" s="279">
        <f t="shared" si="18"/>
        <v>219198</v>
      </c>
      <c r="W97" s="280">
        <f t="shared" si="19"/>
        <v>1972782</v>
      </c>
      <c r="X97" s="53">
        <f t="shared" si="20"/>
        <v>219199</v>
      </c>
      <c r="Y97" s="53">
        <f t="shared" si="21"/>
        <v>0</v>
      </c>
      <c r="AA97" s="279">
        <f t="shared" si="22"/>
        <v>102649</v>
      </c>
      <c r="AB97" s="280">
        <f t="shared" si="23"/>
        <v>923841</v>
      </c>
      <c r="AC97" s="53">
        <f t="shared" si="24"/>
        <v>102648</v>
      </c>
      <c r="AD97" s="53">
        <f t="shared" si="25"/>
        <v>0</v>
      </c>
      <c r="AF97" s="279">
        <f t="shared" si="26"/>
        <v>35761</v>
      </c>
      <c r="AG97" s="280">
        <f t="shared" si="27"/>
        <v>321849</v>
      </c>
      <c r="AH97" s="53">
        <f t="shared" si="28"/>
        <v>35759</v>
      </c>
      <c r="AI97" s="53">
        <f t="shared" si="29"/>
        <v>0</v>
      </c>
    </row>
    <row r="98" spans="1:35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1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1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>IF(Notes!$B$2="June",'AEA Funding and Payments'!$X98,ROUND(N98/10,0))</f>
        <v>7371</v>
      </c>
      <c r="S98" s="221">
        <f>IF(Notes!$B$2="June",'AEA Funding and Payments'!$AC98,ROUND(O98/10,0))</f>
        <v>4335</v>
      </c>
      <c r="T98" s="221">
        <f t="shared" si="17"/>
        <v>11706</v>
      </c>
      <c r="U98" s="237"/>
      <c r="V98" s="279">
        <f t="shared" si="18"/>
        <v>7371</v>
      </c>
      <c r="W98" s="280">
        <f t="shared" si="19"/>
        <v>66339</v>
      </c>
      <c r="X98" s="53">
        <f t="shared" si="20"/>
        <v>7371</v>
      </c>
      <c r="Y98" s="53">
        <f t="shared" si="21"/>
        <v>0</v>
      </c>
      <c r="AA98" s="279">
        <f t="shared" si="22"/>
        <v>4333</v>
      </c>
      <c r="AB98" s="280">
        <f t="shared" si="23"/>
        <v>38997</v>
      </c>
      <c r="AC98" s="53">
        <f t="shared" si="24"/>
        <v>4335</v>
      </c>
      <c r="AD98" s="53">
        <f t="shared" si="25"/>
        <v>0</v>
      </c>
      <c r="AF98" s="279">
        <f t="shared" si="26"/>
        <v>1301</v>
      </c>
      <c r="AG98" s="280">
        <f t="shared" si="27"/>
        <v>11709</v>
      </c>
      <c r="AH98" s="53">
        <f t="shared" si="28"/>
        <v>1296</v>
      </c>
      <c r="AI98" s="53">
        <f t="shared" si="29"/>
        <v>0</v>
      </c>
    </row>
    <row r="99" spans="1:35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1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1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>IF(Notes!$B$2="June",'AEA Funding and Payments'!$X99,ROUND(N99/10,0))</f>
        <v>8221</v>
      </c>
      <c r="S99" s="221">
        <f>IF(Notes!$B$2="June",'AEA Funding and Payments'!$AC99,ROUND(O99/10,0))</f>
        <v>3196</v>
      </c>
      <c r="T99" s="221">
        <f t="shared" si="17"/>
        <v>11417</v>
      </c>
      <c r="U99" s="237"/>
      <c r="V99" s="279">
        <f t="shared" si="18"/>
        <v>8224</v>
      </c>
      <c r="W99" s="280">
        <f t="shared" si="19"/>
        <v>74016</v>
      </c>
      <c r="X99" s="53">
        <f t="shared" si="20"/>
        <v>8221</v>
      </c>
      <c r="Y99" s="53">
        <f t="shared" si="21"/>
        <v>0</v>
      </c>
      <c r="AA99" s="279">
        <f t="shared" si="22"/>
        <v>3201</v>
      </c>
      <c r="AB99" s="280">
        <f t="shared" si="23"/>
        <v>28809</v>
      </c>
      <c r="AC99" s="53">
        <f t="shared" si="24"/>
        <v>3196</v>
      </c>
      <c r="AD99" s="53">
        <f t="shared" si="25"/>
        <v>0</v>
      </c>
      <c r="AF99" s="279">
        <f t="shared" si="26"/>
        <v>1269</v>
      </c>
      <c r="AG99" s="280">
        <f t="shared" si="27"/>
        <v>11421</v>
      </c>
      <c r="AH99" s="53">
        <f t="shared" si="28"/>
        <v>1273</v>
      </c>
      <c r="AI99" s="53">
        <f t="shared" si="29"/>
        <v>0</v>
      </c>
    </row>
    <row r="100" spans="1:35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1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1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>IF(Notes!$B$2="June",'AEA Funding and Payments'!$X100,ROUND(N100/10,0))</f>
        <v>9829</v>
      </c>
      <c r="S100" s="221">
        <f>IF(Notes!$B$2="June",'AEA Funding and Payments'!$AC100,ROUND(O100/10,0))</f>
        <v>4738</v>
      </c>
      <c r="T100" s="221">
        <f t="shared" si="17"/>
        <v>14567</v>
      </c>
      <c r="U100" s="237"/>
      <c r="V100" s="279">
        <f t="shared" si="18"/>
        <v>9830</v>
      </c>
      <c r="W100" s="280">
        <f t="shared" si="19"/>
        <v>88470</v>
      </c>
      <c r="X100" s="53">
        <f t="shared" si="20"/>
        <v>9829</v>
      </c>
      <c r="Y100" s="53">
        <f t="shared" si="21"/>
        <v>0</v>
      </c>
      <c r="AA100" s="279">
        <f t="shared" si="22"/>
        <v>4735</v>
      </c>
      <c r="AB100" s="280">
        <f t="shared" si="23"/>
        <v>42615</v>
      </c>
      <c r="AC100" s="53">
        <f t="shared" si="24"/>
        <v>4738</v>
      </c>
      <c r="AD100" s="53">
        <f t="shared" si="25"/>
        <v>0</v>
      </c>
      <c r="AF100" s="279">
        <f t="shared" si="26"/>
        <v>1618</v>
      </c>
      <c r="AG100" s="280">
        <f t="shared" si="27"/>
        <v>14562</v>
      </c>
      <c r="AH100" s="53">
        <f t="shared" si="28"/>
        <v>1622</v>
      </c>
      <c r="AI100" s="53">
        <f t="shared" si="29"/>
        <v>0</v>
      </c>
    </row>
    <row r="101" spans="1:35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1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1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>IF(Notes!$B$2="June",'AEA Funding and Payments'!$X101,ROUND(N101/10,0))</f>
        <v>19685</v>
      </c>
      <c r="S101" s="221">
        <f>IF(Notes!$B$2="June",'AEA Funding and Payments'!$AC101,ROUND(O101/10,0))</f>
        <v>9776</v>
      </c>
      <c r="T101" s="221">
        <f t="shared" si="17"/>
        <v>29461</v>
      </c>
      <c r="U101" s="237"/>
      <c r="V101" s="279">
        <f t="shared" si="18"/>
        <v>19681</v>
      </c>
      <c r="W101" s="280">
        <f t="shared" si="19"/>
        <v>177129</v>
      </c>
      <c r="X101" s="53">
        <f t="shared" si="20"/>
        <v>19685</v>
      </c>
      <c r="Y101" s="53">
        <f t="shared" si="21"/>
        <v>0</v>
      </c>
      <c r="AA101" s="279">
        <f t="shared" si="22"/>
        <v>9776</v>
      </c>
      <c r="AB101" s="280">
        <f t="shared" si="23"/>
        <v>87984</v>
      </c>
      <c r="AC101" s="53">
        <f t="shared" si="24"/>
        <v>9776</v>
      </c>
      <c r="AD101" s="53">
        <f t="shared" si="25"/>
        <v>0</v>
      </c>
      <c r="AF101" s="279">
        <f t="shared" si="26"/>
        <v>3273</v>
      </c>
      <c r="AG101" s="280">
        <f t="shared" si="27"/>
        <v>29457</v>
      </c>
      <c r="AH101" s="53">
        <f t="shared" si="28"/>
        <v>3274</v>
      </c>
      <c r="AI101" s="53">
        <f t="shared" si="29"/>
        <v>0</v>
      </c>
    </row>
    <row r="102" spans="1:35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1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1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>IF(Notes!$B$2="June",'AEA Funding and Payments'!$X102,ROUND(N102/10,0))</f>
        <v>20519</v>
      </c>
      <c r="S102" s="221">
        <f>IF(Notes!$B$2="June",'AEA Funding and Payments'!$AC102,ROUND(O102/10,0))</f>
        <v>9176</v>
      </c>
      <c r="T102" s="221">
        <f t="shared" si="17"/>
        <v>29695</v>
      </c>
      <c r="U102" s="237"/>
      <c r="V102" s="279">
        <f t="shared" si="18"/>
        <v>20519</v>
      </c>
      <c r="W102" s="280">
        <f t="shared" si="19"/>
        <v>184671</v>
      </c>
      <c r="X102" s="53">
        <f t="shared" si="20"/>
        <v>20519</v>
      </c>
      <c r="Y102" s="53">
        <f t="shared" si="21"/>
        <v>0</v>
      </c>
      <c r="AA102" s="279">
        <f t="shared" si="22"/>
        <v>9172</v>
      </c>
      <c r="AB102" s="280">
        <f t="shared" si="23"/>
        <v>82548</v>
      </c>
      <c r="AC102" s="53">
        <f t="shared" si="24"/>
        <v>9176</v>
      </c>
      <c r="AD102" s="53">
        <f t="shared" si="25"/>
        <v>0</v>
      </c>
      <c r="AF102" s="279">
        <f t="shared" si="26"/>
        <v>3299</v>
      </c>
      <c r="AG102" s="280">
        <f t="shared" si="27"/>
        <v>29691</v>
      </c>
      <c r="AH102" s="53">
        <f t="shared" si="28"/>
        <v>3299</v>
      </c>
      <c r="AI102" s="53">
        <f t="shared" si="29"/>
        <v>0</v>
      </c>
    </row>
    <row r="103" spans="1:35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1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1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>IF(Notes!$B$2="June",'AEA Funding and Payments'!$X103,ROUND(N103/10,0))</f>
        <v>11707</v>
      </c>
      <c r="S103" s="221">
        <f>IF(Notes!$B$2="June",'AEA Funding and Payments'!$AC103,ROUND(O103/10,0))</f>
        <v>4035</v>
      </c>
      <c r="T103" s="221">
        <f t="shared" si="17"/>
        <v>15742</v>
      </c>
      <c r="U103" s="237"/>
      <c r="V103" s="279">
        <f t="shared" si="18"/>
        <v>11705</v>
      </c>
      <c r="W103" s="280">
        <f t="shared" si="19"/>
        <v>105345</v>
      </c>
      <c r="X103" s="53">
        <f t="shared" si="20"/>
        <v>11707</v>
      </c>
      <c r="Y103" s="53">
        <f t="shared" si="21"/>
        <v>0</v>
      </c>
      <c r="AA103" s="279">
        <f t="shared" si="22"/>
        <v>4036</v>
      </c>
      <c r="AB103" s="280">
        <f t="shared" si="23"/>
        <v>36324</v>
      </c>
      <c r="AC103" s="53">
        <f t="shared" si="24"/>
        <v>4035</v>
      </c>
      <c r="AD103" s="53">
        <f t="shared" si="25"/>
        <v>0</v>
      </c>
      <c r="AF103" s="279">
        <f t="shared" si="26"/>
        <v>1749</v>
      </c>
      <c r="AG103" s="280">
        <f t="shared" si="27"/>
        <v>15741</v>
      </c>
      <c r="AH103" s="53">
        <f t="shared" si="28"/>
        <v>1749</v>
      </c>
      <c r="AI103" s="53">
        <f t="shared" si="29"/>
        <v>0</v>
      </c>
    </row>
    <row r="104" spans="1:35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1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1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>IF(Notes!$B$2="June",'AEA Funding and Payments'!$X104,ROUND(N104/10,0))</f>
        <v>10577</v>
      </c>
      <c r="S104" s="221">
        <f>IF(Notes!$B$2="June",'AEA Funding and Payments'!$AC104,ROUND(O104/10,0))</f>
        <v>5711</v>
      </c>
      <c r="T104" s="221">
        <f t="shared" si="17"/>
        <v>16288</v>
      </c>
      <c r="U104" s="237"/>
      <c r="V104" s="279">
        <f t="shared" si="18"/>
        <v>10577</v>
      </c>
      <c r="W104" s="280">
        <f t="shared" si="19"/>
        <v>95193</v>
      </c>
      <c r="X104" s="53">
        <f t="shared" si="20"/>
        <v>10577</v>
      </c>
      <c r="Y104" s="53">
        <f t="shared" si="21"/>
        <v>0</v>
      </c>
      <c r="AA104" s="279">
        <f t="shared" si="22"/>
        <v>5713</v>
      </c>
      <c r="AB104" s="280">
        <f t="shared" si="23"/>
        <v>51417</v>
      </c>
      <c r="AC104" s="53">
        <f t="shared" si="24"/>
        <v>5711</v>
      </c>
      <c r="AD104" s="53">
        <f t="shared" si="25"/>
        <v>0</v>
      </c>
      <c r="AF104" s="279">
        <f t="shared" si="26"/>
        <v>1810</v>
      </c>
      <c r="AG104" s="280">
        <f t="shared" si="27"/>
        <v>16290</v>
      </c>
      <c r="AH104" s="53">
        <f t="shared" si="28"/>
        <v>1810</v>
      </c>
      <c r="AI104" s="53">
        <f t="shared" si="29"/>
        <v>0</v>
      </c>
    </row>
    <row r="105" spans="1:35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1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1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>IF(Notes!$B$2="June",'AEA Funding and Payments'!$X105,ROUND(N105/10,0))</f>
        <v>11233</v>
      </c>
      <c r="S105" s="221">
        <f>IF(Notes!$B$2="June",'AEA Funding and Payments'!$AC105,ROUND(O105/10,0))</f>
        <v>5544</v>
      </c>
      <c r="T105" s="221">
        <f t="shared" si="17"/>
        <v>16777</v>
      </c>
      <c r="U105" s="237"/>
      <c r="V105" s="279">
        <f t="shared" si="18"/>
        <v>11237</v>
      </c>
      <c r="W105" s="280">
        <f t="shared" si="19"/>
        <v>101133</v>
      </c>
      <c r="X105" s="53">
        <f t="shared" si="20"/>
        <v>11233</v>
      </c>
      <c r="Y105" s="53">
        <f t="shared" si="21"/>
        <v>0</v>
      </c>
      <c r="AA105" s="279">
        <f t="shared" si="22"/>
        <v>5543</v>
      </c>
      <c r="AB105" s="280">
        <f t="shared" si="23"/>
        <v>49887</v>
      </c>
      <c r="AC105" s="53">
        <f t="shared" si="24"/>
        <v>5544</v>
      </c>
      <c r="AD105" s="53">
        <f t="shared" si="25"/>
        <v>0</v>
      </c>
      <c r="AF105" s="279">
        <f t="shared" si="26"/>
        <v>1864</v>
      </c>
      <c r="AG105" s="280">
        <f t="shared" si="27"/>
        <v>16776</v>
      </c>
      <c r="AH105" s="53">
        <f t="shared" si="28"/>
        <v>1868</v>
      </c>
      <c r="AI105" s="53">
        <f t="shared" si="29"/>
        <v>0</v>
      </c>
    </row>
    <row r="106" spans="1:35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1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1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>IF(Notes!$B$2="June",'AEA Funding and Payments'!$X106,ROUND(N106/10,0))</f>
        <v>9411</v>
      </c>
      <c r="S106" s="221">
        <f>IF(Notes!$B$2="June",'AEA Funding and Payments'!$AC106,ROUND(O106/10,0))</f>
        <v>4210</v>
      </c>
      <c r="T106" s="221">
        <f t="shared" si="17"/>
        <v>13621</v>
      </c>
      <c r="U106" s="237"/>
      <c r="V106" s="279">
        <f t="shared" si="18"/>
        <v>9414</v>
      </c>
      <c r="W106" s="280">
        <f t="shared" si="19"/>
        <v>84726</v>
      </c>
      <c r="X106" s="53">
        <f t="shared" si="20"/>
        <v>9411</v>
      </c>
      <c r="Y106" s="53">
        <f t="shared" si="21"/>
        <v>0</v>
      </c>
      <c r="AA106" s="279">
        <f t="shared" si="22"/>
        <v>4208</v>
      </c>
      <c r="AB106" s="280">
        <f t="shared" si="23"/>
        <v>37872</v>
      </c>
      <c r="AC106" s="53">
        <f t="shared" si="24"/>
        <v>4210</v>
      </c>
      <c r="AD106" s="53">
        <f t="shared" si="25"/>
        <v>0</v>
      </c>
      <c r="AF106" s="279">
        <f t="shared" si="26"/>
        <v>1514</v>
      </c>
      <c r="AG106" s="280">
        <f t="shared" si="27"/>
        <v>13626</v>
      </c>
      <c r="AH106" s="53">
        <f t="shared" si="28"/>
        <v>1510</v>
      </c>
      <c r="AI106" s="53">
        <f t="shared" si="29"/>
        <v>0</v>
      </c>
    </row>
    <row r="107" spans="1:35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1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1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>IF(Notes!$B$2="June",'AEA Funding and Payments'!$X107,ROUND(N107/10,0))</f>
        <v>6448</v>
      </c>
      <c r="S107" s="221">
        <f>IF(Notes!$B$2="June",'AEA Funding and Payments'!$AC107,ROUND(O107/10,0))</f>
        <v>3519</v>
      </c>
      <c r="T107" s="221">
        <f t="shared" si="17"/>
        <v>9967</v>
      </c>
      <c r="U107" s="237"/>
      <c r="V107" s="279">
        <f t="shared" si="18"/>
        <v>6446</v>
      </c>
      <c r="W107" s="280">
        <f t="shared" si="19"/>
        <v>58014</v>
      </c>
      <c r="X107" s="53">
        <f t="shared" si="20"/>
        <v>6448</v>
      </c>
      <c r="Y107" s="53">
        <f t="shared" si="21"/>
        <v>0</v>
      </c>
      <c r="AA107" s="279">
        <f t="shared" si="22"/>
        <v>3520</v>
      </c>
      <c r="AB107" s="280">
        <f t="shared" si="23"/>
        <v>31680</v>
      </c>
      <c r="AC107" s="53">
        <f t="shared" si="24"/>
        <v>3519</v>
      </c>
      <c r="AD107" s="53">
        <f t="shared" si="25"/>
        <v>0</v>
      </c>
      <c r="AF107" s="279">
        <f t="shared" si="26"/>
        <v>1107</v>
      </c>
      <c r="AG107" s="280">
        <f t="shared" si="27"/>
        <v>9963</v>
      </c>
      <c r="AH107" s="53">
        <f t="shared" si="28"/>
        <v>1110</v>
      </c>
      <c r="AI107" s="53">
        <f t="shared" si="29"/>
        <v>0</v>
      </c>
    </row>
    <row r="108" spans="1:35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1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1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>IF(Notes!$B$2="June",'AEA Funding and Payments'!$X108,ROUND(N108/10,0))</f>
        <v>8184</v>
      </c>
      <c r="S108" s="221">
        <f>IF(Notes!$B$2="June",'AEA Funding and Payments'!$AC108,ROUND(O108/10,0))</f>
        <v>3508</v>
      </c>
      <c r="T108" s="221">
        <f t="shared" si="17"/>
        <v>11692</v>
      </c>
      <c r="U108" s="237"/>
      <c r="V108" s="279">
        <f t="shared" si="18"/>
        <v>8186</v>
      </c>
      <c r="W108" s="280">
        <f t="shared" si="19"/>
        <v>73674</v>
      </c>
      <c r="X108" s="53">
        <f t="shared" si="20"/>
        <v>8184</v>
      </c>
      <c r="Y108" s="53">
        <f t="shared" si="21"/>
        <v>0</v>
      </c>
      <c r="AA108" s="279">
        <f t="shared" si="22"/>
        <v>3510</v>
      </c>
      <c r="AB108" s="280">
        <f t="shared" si="23"/>
        <v>31590</v>
      </c>
      <c r="AC108" s="53">
        <f t="shared" si="24"/>
        <v>3508</v>
      </c>
      <c r="AD108" s="53">
        <f t="shared" si="25"/>
        <v>0</v>
      </c>
      <c r="AF108" s="279">
        <f t="shared" si="26"/>
        <v>1300</v>
      </c>
      <c r="AG108" s="280">
        <f t="shared" si="27"/>
        <v>11700</v>
      </c>
      <c r="AH108" s="53">
        <f t="shared" si="28"/>
        <v>1295</v>
      </c>
      <c r="AI108" s="53">
        <f t="shared" si="29"/>
        <v>0</v>
      </c>
    </row>
    <row r="109" spans="1:35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1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1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>IF(Notes!$B$2="June",'AEA Funding and Payments'!$X109,ROUND(N109/10,0))</f>
        <v>7718</v>
      </c>
      <c r="S109" s="221">
        <f>IF(Notes!$B$2="June",'AEA Funding and Payments'!$AC109,ROUND(O109/10,0))</f>
        <v>3616</v>
      </c>
      <c r="T109" s="221">
        <f t="shared" si="17"/>
        <v>11334</v>
      </c>
      <c r="U109" s="237"/>
      <c r="V109" s="279">
        <f t="shared" si="18"/>
        <v>7716</v>
      </c>
      <c r="W109" s="280">
        <f t="shared" si="19"/>
        <v>69444</v>
      </c>
      <c r="X109" s="53">
        <f t="shared" si="20"/>
        <v>7718</v>
      </c>
      <c r="Y109" s="53">
        <f t="shared" si="21"/>
        <v>0</v>
      </c>
      <c r="AA109" s="279">
        <f t="shared" si="22"/>
        <v>3613</v>
      </c>
      <c r="AB109" s="280">
        <f t="shared" si="23"/>
        <v>32517</v>
      </c>
      <c r="AC109" s="53">
        <f t="shared" si="24"/>
        <v>3616</v>
      </c>
      <c r="AD109" s="53">
        <f t="shared" si="25"/>
        <v>0</v>
      </c>
      <c r="AF109" s="279">
        <f t="shared" si="26"/>
        <v>1259</v>
      </c>
      <c r="AG109" s="280">
        <f t="shared" si="27"/>
        <v>11331</v>
      </c>
      <c r="AH109" s="53">
        <f t="shared" si="28"/>
        <v>1257</v>
      </c>
      <c r="AI109" s="53">
        <f t="shared" si="29"/>
        <v>0</v>
      </c>
    </row>
    <row r="110" spans="1:35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1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1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>IF(Notes!$B$2="June",'AEA Funding and Payments'!$X110,ROUND(N110/10,0))</f>
        <v>11308</v>
      </c>
      <c r="S110" s="221">
        <f>IF(Notes!$B$2="June",'AEA Funding and Payments'!$AC110,ROUND(O110/10,0))</f>
        <v>6626</v>
      </c>
      <c r="T110" s="221">
        <f t="shared" si="17"/>
        <v>17934</v>
      </c>
      <c r="U110" s="237"/>
      <c r="V110" s="279">
        <f t="shared" si="18"/>
        <v>11309</v>
      </c>
      <c r="W110" s="280">
        <f t="shared" si="19"/>
        <v>101781</v>
      </c>
      <c r="X110" s="53">
        <f t="shared" si="20"/>
        <v>11308</v>
      </c>
      <c r="Y110" s="53">
        <f t="shared" si="21"/>
        <v>0</v>
      </c>
      <c r="AA110" s="279">
        <f t="shared" si="22"/>
        <v>6623</v>
      </c>
      <c r="AB110" s="280">
        <f t="shared" si="23"/>
        <v>59607</v>
      </c>
      <c r="AC110" s="53">
        <f t="shared" si="24"/>
        <v>6626</v>
      </c>
      <c r="AD110" s="53">
        <f t="shared" si="25"/>
        <v>0</v>
      </c>
      <c r="AF110" s="279">
        <f t="shared" si="26"/>
        <v>1993</v>
      </c>
      <c r="AG110" s="280">
        <f t="shared" si="27"/>
        <v>17937</v>
      </c>
      <c r="AH110" s="53">
        <f t="shared" si="28"/>
        <v>1988</v>
      </c>
      <c r="AI110" s="53">
        <f t="shared" si="29"/>
        <v>0</v>
      </c>
    </row>
    <row r="111" spans="1:35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1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1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>IF(Notes!$B$2="June",'AEA Funding and Payments'!$X111,ROUND(N111/10,0))</f>
        <v>12975</v>
      </c>
      <c r="S111" s="221">
        <f>IF(Notes!$B$2="June",'AEA Funding and Payments'!$AC111,ROUND(O111/10,0))</f>
        <v>7166</v>
      </c>
      <c r="T111" s="221">
        <f t="shared" si="17"/>
        <v>20141</v>
      </c>
      <c r="U111" s="237"/>
      <c r="V111" s="279">
        <f t="shared" si="18"/>
        <v>12976</v>
      </c>
      <c r="W111" s="280">
        <f t="shared" si="19"/>
        <v>116784</v>
      </c>
      <c r="X111" s="53">
        <f t="shared" si="20"/>
        <v>12975</v>
      </c>
      <c r="Y111" s="53">
        <f t="shared" si="21"/>
        <v>0</v>
      </c>
      <c r="AA111" s="279">
        <f t="shared" si="22"/>
        <v>7166</v>
      </c>
      <c r="AB111" s="280">
        <f t="shared" si="23"/>
        <v>64494</v>
      </c>
      <c r="AC111" s="53">
        <f t="shared" si="24"/>
        <v>7166</v>
      </c>
      <c r="AD111" s="53">
        <f t="shared" si="25"/>
        <v>0</v>
      </c>
      <c r="AF111" s="279">
        <f t="shared" si="26"/>
        <v>2238</v>
      </c>
      <c r="AG111" s="280">
        <f t="shared" si="27"/>
        <v>20142</v>
      </c>
      <c r="AH111" s="53">
        <f t="shared" si="28"/>
        <v>2238</v>
      </c>
      <c r="AI111" s="53">
        <f t="shared" si="29"/>
        <v>0</v>
      </c>
    </row>
    <row r="112" spans="1:35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1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1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>IF(Notes!$B$2="June",'AEA Funding and Payments'!$X112,ROUND(N112/10,0))</f>
        <v>9230</v>
      </c>
      <c r="S112" s="221">
        <f>IF(Notes!$B$2="June",'AEA Funding and Payments'!$AC112,ROUND(O112/10,0))</f>
        <v>3913</v>
      </c>
      <c r="T112" s="221">
        <f t="shared" si="17"/>
        <v>13143</v>
      </c>
      <c r="U112" s="237"/>
      <c r="V112" s="279">
        <f t="shared" si="18"/>
        <v>9232</v>
      </c>
      <c r="W112" s="280">
        <f t="shared" si="19"/>
        <v>83088</v>
      </c>
      <c r="X112" s="53">
        <f t="shared" si="20"/>
        <v>9230</v>
      </c>
      <c r="Y112" s="53">
        <f t="shared" si="21"/>
        <v>0</v>
      </c>
      <c r="AA112" s="279">
        <f t="shared" si="22"/>
        <v>3912</v>
      </c>
      <c r="AB112" s="280">
        <f t="shared" si="23"/>
        <v>35208</v>
      </c>
      <c r="AC112" s="53">
        <f t="shared" si="24"/>
        <v>3913</v>
      </c>
      <c r="AD112" s="53">
        <f t="shared" si="25"/>
        <v>0</v>
      </c>
      <c r="AF112" s="279">
        <f t="shared" si="26"/>
        <v>1460</v>
      </c>
      <c r="AG112" s="280">
        <f t="shared" si="27"/>
        <v>13140</v>
      </c>
      <c r="AH112" s="53">
        <f t="shared" si="28"/>
        <v>1464</v>
      </c>
      <c r="AI112" s="53">
        <f t="shared" si="29"/>
        <v>0</v>
      </c>
    </row>
    <row r="113" spans="1:35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1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1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>IF(Notes!$B$2="June",'AEA Funding and Payments'!$X113,ROUND(N113/10,0))</f>
        <v>3378</v>
      </c>
      <c r="S113" s="221">
        <f>IF(Notes!$B$2="June",'AEA Funding and Payments'!$AC113,ROUND(O113/10,0))</f>
        <v>2223</v>
      </c>
      <c r="T113" s="221">
        <f t="shared" si="17"/>
        <v>5601</v>
      </c>
      <c r="U113" s="237"/>
      <c r="V113" s="279">
        <f t="shared" si="18"/>
        <v>3377</v>
      </c>
      <c r="W113" s="280">
        <f t="shared" si="19"/>
        <v>30393</v>
      </c>
      <c r="X113" s="53">
        <f t="shared" si="20"/>
        <v>3378</v>
      </c>
      <c r="Y113" s="53">
        <f t="shared" si="21"/>
        <v>0</v>
      </c>
      <c r="AA113" s="279">
        <f t="shared" si="22"/>
        <v>2225</v>
      </c>
      <c r="AB113" s="280">
        <f t="shared" si="23"/>
        <v>20025</v>
      </c>
      <c r="AC113" s="53">
        <f t="shared" si="24"/>
        <v>2223</v>
      </c>
      <c r="AD113" s="53">
        <f t="shared" si="25"/>
        <v>0</v>
      </c>
      <c r="AF113" s="279">
        <f t="shared" si="26"/>
        <v>622</v>
      </c>
      <c r="AG113" s="280">
        <f t="shared" si="27"/>
        <v>5598</v>
      </c>
      <c r="AH113" s="53">
        <f t="shared" si="28"/>
        <v>626</v>
      </c>
      <c r="AI113" s="53">
        <f t="shared" si="29"/>
        <v>0</v>
      </c>
    </row>
    <row r="114" spans="1:35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1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1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>IF(Notes!$B$2="June",'AEA Funding and Payments'!$X114,ROUND(N114/10,0))</f>
        <v>24018</v>
      </c>
      <c r="S114" s="221">
        <f>IF(Notes!$B$2="June",'AEA Funding and Payments'!$AC114,ROUND(O114/10,0))</f>
        <v>11167</v>
      </c>
      <c r="T114" s="221">
        <f t="shared" si="17"/>
        <v>35185</v>
      </c>
      <c r="U114" s="237"/>
      <c r="V114" s="279">
        <f t="shared" si="18"/>
        <v>24014</v>
      </c>
      <c r="W114" s="280">
        <f t="shared" si="19"/>
        <v>216126</v>
      </c>
      <c r="X114" s="53">
        <f t="shared" si="20"/>
        <v>24018</v>
      </c>
      <c r="Y114" s="53">
        <f t="shared" si="21"/>
        <v>0</v>
      </c>
      <c r="AA114" s="279">
        <f t="shared" si="22"/>
        <v>11167</v>
      </c>
      <c r="AB114" s="280">
        <f t="shared" si="23"/>
        <v>100503</v>
      </c>
      <c r="AC114" s="53">
        <f t="shared" si="24"/>
        <v>11167</v>
      </c>
      <c r="AD114" s="53">
        <f t="shared" si="25"/>
        <v>0</v>
      </c>
      <c r="AF114" s="279">
        <f t="shared" si="26"/>
        <v>3909</v>
      </c>
      <c r="AG114" s="280">
        <f t="shared" si="27"/>
        <v>35181</v>
      </c>
      <c r="AH114" s="53">
        <f t="shared" si="28"/>
        <v>3910</v>
      </c>
      <c r="AI114" s="53">
        <f t="shared" si="29"/>
        <v>0</v>
      </c>
    </row>
    <row r="115" spans="1:35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1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1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>IF(Notes!$B$2="June",'AEA Funding and Payments'!$X115,ROUND(N115/10,0))</f>
        <v>9064</v>
      </c>
      <c r="S115" s="221">
        <f>IF(Notes!$B$2="June",'AEA Funding and Payments'!$AC115,ROUND(O115/10,0))</f>
        <v>3127</v>
      </c>
      <c r="T115" s="221">
        <f t="shared" si="17"/>
        <v>12191</v>
      </c>
      <c r="U115" s="237"/>
      <c r="V115" s="279">
        <f t="shared" si="18"/>
        <v>9061</v>
      </c>
      <c r="W115" s="280">
        <f t="shared" si="19"/>
        <v>81549</v>
      </c>
      <c r="X115" s="53">
        <f t="shared" si="20"/>
        <v>9064</v>
      </c>
      <c r="Y115" s="53">
        <f t="shared" si="21"/>
        <v>0</v>
      </c>
      <c r="AA115" s="279">
        <f t="shared" si="22"/>
        <v>3124</v>
      </c>
      <c r="AB115" s="280">
        <f t="shared" si="23"/>
        <v>28116</v>
      </c>
      <c r="AC115" s="53">
        <f t="shared" si="24"/>
        <v>3127</v>
      </c>
      <c r="AD115" s="53">
        <f t="shared" si="25"/>
        <v>0</v>
      </c>
      <c r="AF115" s="279">
        <f t="shared" si="26"/>
        <v>1354</v>
      </c>
      <c r="AG115" s="280">
        <f t="shared" si="27"/>
        <v>12186</v>
      </c>
      <c r="AH115" s="53">
        <f t="shared" si="28"/>
        <v>1354</v>
      </c>
      <c r="AI115" s="53">
        <f t="shared" si="29"/>
        <v>0</v>
      </c>
    </row>
    <row r="116" spans="1:35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1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1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>IF(Notes!$B$2="June",'AEA Funding and Payments'!$X116,ROUND(N116/10,0))</f>
        <v>31987</v>
      </c>
      <c r="S116" s="221">
        <f>IF(Notes!$B$2="June",'AEA Funding and Payments'!$AC116,ROUND(O116/10,0))</f>
        <v>13495</v>
      </c>
      <c r="T116" s="221">
        <f t="shared" si="17"/>
        <v>45482</v>
      </c>
      <c r="U116" s="237"/>
      <c r="V116" s="279">
        <f t="shared" si="18"/>
        <v>31987</v>
      </c>
      <c r="W116" s="280">
        <f t="shared" si="19"/>
        <v>287883</v>
      </c>
      <c r="X116" s="53">
        <f t="shared" si="20"/>
        <v>31987</v>
      </c>
      <c r="Y116" s="53">
        <f t="shared" si="21"/>
        <v>0</v>
      </c>
      <c r="AA116" s="279">
        <f t="shared" si="22"/>
        <v>13499</v>
      </c>
      <c r="AB116" s="280">
        <f t="shared" si="23"/>
        <v>121491</v>
      </c>
      <c r="AC116" s="53">
        <f t="shared" si="24"/>
        <v>13495</v>
      </c>
      <c r="AD116" s="53">
        <f t="shared" si="25"/>
        <v>0</v>
      </c>
      <c r="AF116" s="279">
        <f t="shared" si="26"/>
        <v>5054</v>
      </c>
      <c r="AG116" s="280">
        <f t="shared" si="27"/>
        <v>45486</v>
      </c>
      <c r="AH116" s="53">
        <f t="shared" si="28"/>
        <v>5054</v>
      </c>
      <c r="AI116" s="53">
        <f t="shared" si="29"/>
        <v>0</v>
      </c>
    </row>
    <row r="117" spans="1:35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1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1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>IF(Notes!$B$2="June",'AEA Funding and Payments'!$X117,ROUND(N117/10,0))</f>
        <v>22222</v>
      </c>
      <c r="S117" s="221">
        <f>IF(Notes!$B$2="June",'AEA Funding and Payments'!$AC117,ROUND(O117/10,0))</f>
        <v>9563</v>
      </c>
      <c r="T117" s="221">
        <f t="shared" si="17"/>
        <v>31785</v>
      </c>
      <c r="U117" s="237"/>
      <c r="V117" s="279">
        <f t="shared" si="18"/>
        <v>22221</v>
      </c>
      <c r="W117" s="280">
        <f t="shared" si="19"/>
        <v>199989</v>
      </c>
      <c r="X117" s="53">
        <f t="shared" si="20"/>
        <v>22222</v>
      </c>
      <c r="Y117" s="53">
        <f t="shared" si="21"/>
        <v>0</v>
      </c>
      <c r="AA117" s="279">
        <f t="shared" si="22"/>
        <v>9561</v>
      </c>
      <c r="AB117" s="280">
        <f t="shared" si="23"/>
        <v>86049</v>
      </c>
      <c r="AC117" s="53">
        <f t="shared" si="24"/>
        <v>9563</v>
      </c>
      <c r="AD117" s="53">
        <f t="shared" si="25"/>
        <v>0</v>
      </c>
      <c r="AF117" s="279">
        <f t="shared" si="26"/>
        <v>3531</v>
      </c>
      <c r="AG117" s="280">
        <f t="shared" si="27"/>
        <v>31779</v>
      </c>
      <c r="AH117" s="53">
        <f t="shared" si="28"/>
        <v>3535</v>
      </c>
      <c r="AI117" s="53">
        <f t="shared" si="29"/>
        <v>0</v>
      </c>
    </row>
    <row r="118" spans="1:35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1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1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>IF(Notes!$B$2="June",'AEA Funding and Payments'!$X118,ROUND(N118/10,0))</f>
        <v>72687</v>
      </c>
      <c r="S118" s="221">
        <f>IF(Notes!$B$2="June",'AEA Funding and Payments'!$AC118,ROUND(O118/10,0))</f>
        <v>35643</v>
      </c>
      <c r="T118" s="221">
        <f t="shared" si="17"/>
        <v>108330</v>
      </c>
      <c r="U118" s="237"/>
      <c r="V118" s="279">
        <f t="shared" si="18"/>
        <v>72691</v>
      </c>
      <c r="W118" s="280">
        <f t="shared" si="19"/>
        <v>654219</v>
      </c>
      <c r="X118" s="53">
        <f t="shared" si="20"/>
        <v>72687</v>
      </c>
      <c r="Y118" s="53">
        <f t="shared" si="21"/>
        <v>0</v>
      </c>
      <c r="AA118" s="279">
        <f t="shared" si="22"/>
        <v>35643</v>
      </c>
      <c r="AB118" s="280">
        <f t="shared" si="23"/>
        <v>320787</v>
      </c>
      <c r="AC118" s="53">
        <f t="shared" si="24"/>
        <v>35643</v>
      </c>
      <c r="AD118" s="53">
        <f t="shared" si="25"/>
        <v>0</v>
      </c>
      <c r="AF118" s="279">
        <f t="shared" si="26"/>
        <v>12037</v>
      </c>
      <c r="AG118" s="280">
        <f t="shared" si="27"/>
        <v>108333</v>
      </c>
      <c r="AH118" s="53">
        <f t="shared" si="28"/>
        <v>12038</v>
      </c>
      <c r="AI118" s="53">
        <f t="shared" si="29"/>
        <v>0</v>
      </c>
    </row>
    <row r="119" spans="1:35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1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1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>IF(Notes!$B$2="June",'AEA Funding and Payments'!$X119,ROUND(N119/10,0))</f>
        <v>45559</v>
      </c>
      <c r="S119" s="221">
        <f>IF(Notes!$B$2="June",'AEA Funding and Payments'!$AC119,ROUND(O119/10,0))</f>
        <v>17067</v>
      </c>
      <c r="T119" s="221">
        <f t="shared" si="17"/>
        <v>62626</v>
      </c>
      <c r="U119" s="237"/>
      <c r="V119" s="279">
        <f t="shared" si="18"/>
        <v>45564</v>
      </c>
      <c r="W119" s="280">
        <f t="shared" si="19"/>
        <v>410076</v>
      </c>
      <c r="X119" s="53">
        <f t="shared" si="20"/>
        <v>45559</v>
      </c>
      <c r="Y119" s="53">
        <f t="shared" si="21"/>
        <v>0</v>
      </c>
      <c r="AA119" s="279">
        <f t="shared" si="22"/>
        <v>17068</v>
      </c>
      <c r="AB119" s="280">
        <f t="shared" si="23"/>
        <v>153612</v>
      </c>
      <c r="AC119" s="53">
        <f t="shared" si="24"/>
        <v>17067</v>
      </c>
      <c r="AD119" s="53">
        <f t="shared" si="25"/>
        <v>0</v>
      </c>
      <c r="AF119" s="279">
        <f t="shared" si="26"/>
        <v>6959</v>
      </c>
      <c r="AG119" s="280">
        <f t="shared" si="27"/>
        <v>62631</v>
      </c>
      <c r="AH119" s="53">
        <f t="shared" si="28"/>
        <v>6959</v>
      </c>
      <c r="AI119" s="53">
        <f t="shared" si="29"/>
        <v>0</v>
      </c>
    </row>
    <row r="120" spans="1:35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1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1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>IF(Notes!$B$2="June",'AEA Funding and Payments'!$X120,ROUND(N120/10,0))</f>
        <v>9532</v>
      </c>
      <c r="S120" s="221">
        <f>IF(Notes!$B$2="June",'AEA Funding and Payments'!$AC120,ROUND(O120/10,0))</f>
        <v>3705</v>
      </c>
      <c r="T120" s="221">
        <f t="shared" si="17"/>
        <v>13237</v>
      </c>
      <c r="U120" s="237"/>
      <c r="V120" s="279">
        <f t="shared" si="18"/>
        <v>9529</v>
      </c>
      <c r="W120" s="280">
        <f t="shared" si="19"/>
        <v>85761</v>
      </c>
      <c r="X120" s="53">
        <f t="shared" si="20"/>
        <v>9532</v>
      </c>
      <c r="Y120" s="53">
        <f t="shared" si="21"/>
        <v>0</v>
      </c>
      <c r="AA120" s="279">
        <f t="shared" si="22"/>
        <v>3709</v>
      </c>
      <c r="AB120" s="280">
        <f t="shared" si="23"/>
        <v>33381</v>
      </c>
      <c r="AC120" s="53">
        <f t="shared" si="24"/>
        <v>3705</v>
      </c>
      <c r="AD120" s="53">
        <f t="shared" si="25"/>
        <v>0</v>
      </c>
      <c r="AF120" s="279">
        <f t="shared" si="26"/>
        <v>1471</v>
      </c>
      <c r="AG120" s="280">
        <f t="shared" si="27"/>
        <v>13239</v>
      </c>
      <c r="AH120" s="53">
        <f t="shared" si="28"/>
        <v>1470</v>
      </c>
      <c r="AI120" s="53">
        <f t="shared" si="29"/>
        <v>0</v>
      </c>
    </row>
    <row r="121" spans="1:35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1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1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>IF(Notes!$B$2="June",'AEA Funding and Payments'!$X121,ROUND(N121/10,0))</f>
        <v>9631</v>
      </c>
      <c r="S121" s="221">
        <f>IF(Notes!$B$2="June",'AEA Funding and Payments'!$AC121,ROUND(O121/10,0))</f>
        <v>4098</v>
      </c>
      <c r="T121" s="221">
        <f t="shared" si="17"/>
        <v>13729</v>
      </c>
      <c r="U121" s="237"/>
      <c r="V121" s="279">
        <f t="shared" si="18"/>
        <v>9636</v>
      </c>
      <c r="W121" s="280">
        <f t="shared" si="19"/>
        <v>86724</v>
      </c>
      <c r="X121" s="53">
        <f t="shared" si="20"/>
        <v>9631</v>
      </c>
      <c r="Y121" s="53">
        <f t="shared" si="21"/>
        <v>0</v>
      </c>
      <c r="AA121" s="279">
        <f t="shared" si="22"/>
        <v>4102</v>
      </c>
      <c r="AB121" s="280">
        <f t="shared" si="23"/>
        <v>36918</v>
      </c>
      <c r="AC121" s="53">
        <f t="shared" si="24"/>
        <v>4098</v>
      </c>
      <c r="AD121" s="53">
        <f t="shared" si="25"/>
        <v>0</v>
      </c>
      <c r="AF121" s="279">
        <f t="shared" si="26"/>
        <v>1526</v>
      </c>
      <c r="AG121" s="280">
        <f t="shared" si="27"/>
        <v>13734</v>
      </c>
      <c r="AH121" s="53">
        <f t="shared" si="28"/>
        <v>1529</v>
      </c>
      <c r="AI121" s="53">
        <f t="shared" si="29"/>
        <v>0</v>
      </c>
    </row>
    <row r="122" spans="1:35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1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1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>IF(Notes!$B$2="June",'AEA Funding and Payments'!$X122,ROUND(N122/10,0))</f>
        <v>17115</v>
      </c>
      <c r="S122" s="221">
        <f>IF(Notes!$B$2="June",'AEA Funding and Payments'!$AC122,ROUND(O122/10,0))</f>
        <v>8254</v>
      </c>
      <c r="T122" s="221">
        <f t="shared" si="17"/>
        <v>25369</v>
      </c>
      <c r="U122" s="237"/>
      <c r="V122" s="279">
        <f t="shared" si="18"/>
        <v>17111</v>
      </c>
      <c r="W122" s="280">
        <f t="shared" si="19"/>
        <v>153999</v>
      </c>
      <c r="X122" s="53">
        <f t="shared" si="20"/>
        <v>17115</v>
      </c>
      <c r="Y122" s="53">
        <f t="shared" si="21"/>
        <v>0</v>
      </c>
      <c r="AA122" s="279">
        <f t="shared" si="22"/>
        <v>8253</v>
      </c>
      <c r="AB122" s="280">
        <f t="shared" si="23"/>
        <v>74277</v>
      </c>
      <c r="AC122" s="53">
        <f t="shared" si="24"/>
        <v>8254</v>
      </c>
      <c r="AD122" s="53">
        <f t="shared" si="25"/>
        <v>0</v>
      </c>
      <c r="AF122" s="279">
        <f t="shared" si="26"/>
        <v>2818</v>
      </c>
      <c r="AG122" s="280">
        <f t="shared" si="27"/>
        <v>25362</v>
      </c>
      <c r="AH122" s="53">
        <f t="shared" si="28"/>
        <v>2821</v>
      </c>
      <c r="AI122" s="53">
        <f t="shared" si="29"/>
        <v>0</v>
      </c>
    </row>
    <row r="123" spans="1:35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1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1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>IF(Notes!$B$2="June",'AEA Funding and Payments'!$X123,ROUND(N123/10,0))</f>
        <v>8771</v>
      </c>
      <c r="S123" s="221">
        <f>IF(Notes!$B$2="June",'AEA Funding and Payments'!$AC123,ROUND(O123/10,0))</f>
        <v>4670</v>
      </c>
      <c r="T123" s="221">
        <f t="shared" si="17"/>
        <v>13441</v>
      </c>
      <c r="U123" s="237"/>
      <c r="V123" s="279">
        <f t="shared" si="18"/>
        <v>8776</v>
      </c>
      <c r="W123" s="280">
        <f t="shared" si="19"/>
        <v>78984</v>
      </c>
      <c r="X123" s="53">
        <f t="shared" si="20"/>
        <v>8771</v>
      </c>
      <c r="Y123" s="53">
        <f t="shared" si="21"/>
        <v>0</v>
      </c>
      <c r="AA123" s="279">
        <f t="shared" si="22"/>
        <v>4675</v>
      </c>
      <c r="AB123" s="280">
        <f t="shared" si="23"/>
        <v>42075</v>
      </c>
      <c r="AC123" s="53">
        <f t="shared" si="24"/>
        <v>4670</v>
      </c>
      <c r="AD123" s="53">
        <f t="shared" si="25"/>
        <v>0</v>
      </c>
      <c r="AF123" s="279">
        <f t="shared" si="26"/>
        <v>1495</v>
      </c>
      <c r="AG123" s="280">
        <f t="shared" si="27"/>
        <v>13455</v>
      </c>
      <c r="AH123" s="53">
        <f t="shared" si="28"/>
        <v>1490</v>
      </c>
      <c r="AI123" s="53">
        <f t="shared" si="29"/>
        <v>0</v>
      </c>
    </row>
    <row r="124" spans="1:35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1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1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>IF(Notes!$B$2="June",'AEA Funding and Payments'!$X124,ROUND(N124/10,0))</f>
        <v>32243</v>
      </c>
      <c r="S124" s="221">
        <f>IF(Notes!$B$2="June",'AEA Funding and Payments'!$AC124,ROUND(O124/10,0))</f>
        <v>11114</v>
      </c>
      <c r="T124" s="221">
        <f t="shared" si="17"/>
        <v>43357</v>
      </c>
      <c r="U124" s="237"/>
      <c r="V124" s="279">
        <f t="shared" si="18"/>
        <v>32247</v>
      </c>
      <c r="W124" s="280">
        <f t="shared" si="19"/>
        <v>290223</v>
      </c>
      <c r="X124" s="53">
        <f t="shared" si="20"/>
        <v>32243</v>
      </c>
      <c r="Y124" s="53">
        <f t="shared" si="21"/>
        <v>0</v>
      </c>
      <c r="AA124" s="279">
        <f t="shared" si="22"/>
        <v>11119</v>
      </c>
      <c r="AB124" s="280">
        <f t="shared" si="23"/>
        <v>100071</v>
      </c>
      <c r="AC124" s="53">
        <f t="shared" si="24"/>
        <v>11114</v>
      </c>
      <c r="AD124" s="53">
        <f t="shared" si="25"/>
        <v>0</v>
      </c>
      <c r="AF124" s="279">
        <f t="shared" si="26"/>
        <v>4818</v>
      </c>
      <c r="AG124" s="280">
        <f t="shared" si="27"/>
        <v>43362</v>
      </c>
      <c r="AH124" s="53">
        <f t="shared" si="28"/>
        <v>4821</v>
      </c>
      <c r="AI124" s="53">
        <f t="shared" si="29"/>
        <v>0</v>
      </c>
    </row>
    <row r="125" spans="1:35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1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1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>IF(Notes!$B$2="June",'AEA Funding and Payments'!$X125,ROUND(N125/10,0))</f>
        <v>3343</v>
      </c>
      <c r="S125" s="221">
        <f>IF(Notes!$B$2="June",'AEA Funding and Payments'!$AC125,ROUND(O125/10,0))</f>
        <v>2276</v>
      </c>
      <c r="T125" s="221">
        <f t="shared" si="17"/>
        <v>5619</v>
      </c>
      <c r="U125" s="237"/>
      <c r="V125" s="279">
        <f t="shared" si="18"/>
        <v>3347</v>
      </c>
      <c r="W125" s="280">
        <f t="shared" si="19"/>
        <v>30123</v>
      </c>
      <c r="X125" s="53">
        <f t="shared" si="20"/>
        <v>3343</v>
      </c>
      <c r="Y125" s="53">
        <f t="shared" si="21"/>
        <v>0</v>
      </c>
      <c r="AA125" s="279">
        <f t="shared" si="22"/>
        <v>2279</v>
      </c>
      <c r="AB125" s="280">
        <f t="shared" si="23"/>
        <v>20511</v>
      </c>
      <c r="AC125" s="53">
        <f t="shared" si="24"/>
        <v>2276</v>
      </c>
      <c r="AD125" s="53">
        <f t="shared" si="25"/>
        <v>0</v>
      </c>
      <c r="AF125" s="279">
        <f t="shared" si="26"/>
        <v>625</v>
      </c>
      <c r="AG125" s="280">
        <f t="shared" si="27"/>
        <v>5625</v>
      </c>
      <c r="AH125" s="53">
        <f t="shared" si="28"/>
        <v>625</v>
      </c>
      <c r="AI125" s="53">
        <f t="shared" si="29"/>
        <v>0</v>
      </c>
    </row>
    <row r="126" spans="1:35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1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1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>IF(Notes!$B$2="June",'AEA Funding and Payments'!$X126,ROUND(N126/10,0))</f>
        <v>13168</v>
      </c>
      <c r="S126" s="221">
        <f>IF(Notes!$B$2="June",'AEA Funding and Payments'!$AC126,ROUND(O126/10,0))</f>
        <v>5367</v>
      </c>
      <c r="T126" s="221">
        <f t="shared" si="17"/>
        <v>18535</v>
      </c>
      <c r="U126" s="237"/>
      <c r="V126" s="279">
        <f t="shared" si="18"/>
        <v>13171</v>
      </c>
      <c r="W126" s="280">
        <f t="shared" si="19"/>
        <v>118539</v>
      </c>
      <c r="X126" s="53">
        <f t="shared" si="20"/>
        <v>13168</v>
      </c>
      <c r="Y126" s="53">
        <f t="shared" si="21"/>
        <v>0</v>
      </c>
      <c r="AA126" s="279">
        <f t="shared" si="22"/>
        <v>5368</v>
      </c>
      <c r="AB126" s="280">
        <f t="shared" si="23"/>
        <v>48312</v>
      </c>
      <c r="AC126" s="53">
        <f t="shared" si="24"/>
        <v>5367</v>
      </c>
      <c r="AD126" s="53">
        <f t="shared" si="25"/>
        <v>0</v>
      </c>
      <c r="AF126" s="279">
        <f t="shared" si="26"/>
        <v>2060</v>
      </c>
      <c r="AG126" s="280">
        <f t="shared" si="27"/>
        <v>18540</v>
      </c>
      <c r="AH126" s="53">
        <f t="shared" si="28"/>
        <v>2058</v>
      </c>
      <c r="AI126" s="53">
        <f t="shared" si="29"/>
        <v>0</v>
      </c>
    </row>
    <row r="127" spans="1:35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1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1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>IF(Notes!$B$2="June",'AEA Funding and Payments'!$X127,ROUND(N127/10,0))</f>
        <v>39257</v>
      </c>
      <c r="S127" s="221">
        <f>IF(Notes!$B$2="June",'AEA Funding and Payments'!$AC127,ROUND(O127/10,0))</f>
        <v>15782</v>
      </c>
      <c r="T127" s="221">
        <f t="shared" si="17"/>
        <v>55039</v>
      </c>
      <c r="U127" s="237"/>
      <c r="V127" s="279">
        <f t="shared" si="18"/>
        <v>39259</v>
      </c>
      <c r="W127" s="280">
        <f t="shared" si="19"/>
        <v>353331</v>
      </c>
      <c r="X127" s="53">
        <f t="shared" si="20"/>
        <v>39257</v>
      </c>
      <c r="Y127" s="53">
        <f t="shared" si="21"/>
        <v>0</v>
      </c>
      <c r="AA127" s="279">
        <f t="shared" si="22"/>
        <v>15781</v>
      </c>
      <c r="AB127" s="280">
        <f t="shared" si="23"/>
        <v>142029</v>
      </c>
      <c r="AC127" s="53">
        <f t="shared" si="24"/>
        <v>15782</v>
      </c>
      <c r="AD127" s="53">
        <f t="shared" si="25"/>
        <v>0</v>
      </c>
      <c r="AF127" s="279">
        <f t="shared" si="26"/>
        <v>6116</v>
      </c>
      <c r="AG127" s="280">
        <f t="shared" si="27"/>
        <v>55044</v>
      </c>
      <c r="AH127" s="53">
        <f t="shared" si="28"/>
        <v>6112</v>
      </c>
      <c r="AI127" s="53">
        <f t="shared" si="29"/>
        <v>0</v>
      </c>
    </row>
    <row r="128" spans="1:35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1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1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>IF(Notes!$B$2="June",'AEA Funding and Payments'!$X128,ROUND(N128/10,0))</f>
        <v>6571</v>
      </c>
      <c r="S128" s="221">
        <f>IF(Notes!$B$2="June",'AEA Funding and Payments'!$AC128,ROUND(O128/10,0))</f>
        <v>2268</v>
      </c>
      <c r="T128" s="221">
        <f t="shared" si="17"/>
        <v>8839</v>
      </c>
      <c r="U128" s="237"/>
      <c r="V128" s="279">
        <f t="shared" si="18"/>
        <v>6567</v>
      </c>
      <c r="W128" s="280">
        <f t="shared" si="19"/>
        <v>59103</v>
      </c>
      <c r="X128" s="53">
        <f t="shared" si="20"/>
        <v>6571</v>
      </c>
      <c r="Y128" s="53">
        <f t="shared" si="21"/>
        <v>0</v>
      </c>
      <c r="AA128" s="279">
        <f t="shared" si="22"/>
        <v>2264</v>
      </c>
      <c r="AB128" s="280">
        <f t="shared" si="23"/>
        <v>20376</v>
      </c>
      <c r="AC128" s="53">
        <f t="shared" si="24"/>
        <v>2268</v>
      </c>
      <c r="AD128" s="53">
        <f t="shared" si="25"/>
        <v>0</v>
      </c>
      <c r="AF128" s="279">
        <f t="shared" si="26"/>
        <v>981</v>
      </c>
      <c r="AG128" s="280">
        <f t="shared" si="27"/>
        <v>8829</v>
      </c>
      <c r="AH128" s="53">
        <f t="shared" si="28"/>
        <v>984</v>
      </c>
      <c r="AI128" s="53">
        <f t="shared" si="29"/>
        <v>0</v>
      </c>
    </row>
    <row r="129" spans="1:35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1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1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>IF(Notes!$B$2="June",'AEA Funding and Payments'!$X129,ROUND(N129/10,0))</f>
        <v>7724</v>
      </c>
      <c r="S129" s="221">
        <f>IF(Notes!$B$2="June",'AEA Funding and Payments'!$AC129,ROUND(O129/10,0))</f>
        <v>3434</v>
      </c>
      <c r="T129" s="221">
        <f t="shared" si="17"/>
        <v>11158</v>
      </c>
      <c r="U129" s="237"/>
      <c r="V129" s="279">
        <f t="shared" si="18"/>
        <v>7728</v>
      </c>
      <c r="W129" s="280">
        <f t="shared" si="19"/>
        <v>69552</v>
      </c>
      <c r="X129" s="53">
        <f t="shared" si="20"/>
        <v>7724</v>
      </c>
      <c r="Y129" s="53">
        <f t="shared" si="21"/>
        <v>0</v>
      </c>
      <c r="AA129" s="279">
        <f t="shared" si="22"/>
        <v>3435</v>
      </c>
      <c r="AB129" s="280">
        <f t="shared" si="23"/>
        <v>30915</v>
      </c>
      <c r="AC129" s="53">
        <f t="shared" si="24"/>
        <v>3434</v>
      </c>
      <c r="AD129" s="53">
        <f t="shared" si="25"/>
        <v>0</v>
      </c>
      <c r="AF129" s="279">
        <f t="shared" si="26"/>
        <v>1240</v>
      </c>
      <c r="AG129" s="280">
        <f t="shared" si="27"/>
        <v>11160</v>
      </c>
      <c r="AH129" s="53">
        <f t="shared" si="28"/>
        <v>1243</v>
      </c>
      <c r="AI129" s="53">
        <f t="shared" si="29"/>
        <v>0</v>
      </c>
    </row>
    <row r="130" spans="1:35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1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1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>IF(Notes!$B$2="June",'AEA Funding and Payments'!$X130,ROUND(N130/10,0))</f>
        <v>13706</v>
      </c>
      <c r="S130" s="221">
        <f>IF(Notes!$B$2="June",'AEA Funding and Payments'!$AC130,ROUND(O130/10,0))</f>
        <v>5702</v>
      </c>
      <c r="T130" s="221">
        <f t="shared" si="17"/>
        <v>19408</v>
      </c>
      <c r="U130" s="237"/>
      <c r="V130" s="279">
        <f t="shared" si="18"/>
        <v>13705</v>
      </c>
      <c r="W130" s="280">
        <f t="shared" si="19"/>
        <v>123345</v>
      </c>
      <c r="X130" s="53">
        <f t="shared" si="20"/>
        <v>13706</v>
      </c>
      <c r="Y130" s="53">
        <f t="shared" si="21"/>
        <v>0</v>
      </c>
      <c r="AA130" s="279">
        <f t="shared" si="22"/>
        <v>5707</v>
      </c>
      <c r="AB130" s="280">
        <f t="shared" si="23"/>
        <v>51363</v>
      </c>
      <c r="AC130" s="53">
        <f t="shared" si="24"/>
        <v>5702</v>
      </c>
      <c r="AD130" s="53">
        <f t="shared" si="25"/>
        <v>0</v>
      </c>
      <c r="AF130" s="279">
        <f t="shared" si="26"/>
        <v>2157</v>
      </c>
      <c r="AG130" s="280">
        <f t="shared" si="27"/>
        <v>19413</v>
      </c>
      <c r="AH130" s="53">
        <f t="shared" si="28"/>
        <v>2155</v>
      </c>
      <c r="AI130" s="53">
        <f t="shared" si="29"/>
        <v>0</v>
      </c>
    </row>
    <row r="131" spans="1:35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1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1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>IF(Notes!$B$2="June",'AEA Funding and Payments'!$X131,ROUND(N131/10,0))</f>
        <v>5314</v>
      </c>
      <c r="S131" s="221">
        <f>IF(Notes!$B$2="June",'AEA Funding and Payments'!$AC131,ROUND(O131/10,0))</f>
        <v>2644</v>
      </c>
      <c r="T131" s="221">
        <f t="shared" si="17"/>
        <v>7958</v>
      </c>
      <c r="U131" s="237"/>
      <c r="V131" s="279">
        <f t="shared" si="18"/>
        <v>5317</v>
      </c>
      <c r="W131" s="280">
        <f t="shared" si="19"/>
        <v>47853</v>
      </c>
      <c r="X131" s="53">
        <f t="shared" si="20"/>
        <v>5314</v>
      </c>
      <c r="Y131" s="53">
        <f t="shared" si="21"/>
        <v>0</v>
      </c>
      <c r="AA131" s="279">
        <f t="shared" si="22"/>
        <v>2646</v>
      </c>
      <c r="AB131" s="280">
        <f t="shared" si="23"/>
        <v>23814</v>
      </c>
      <c r="AC131" s="53">
        <f t="shared" si="24"/>
        <v>2644</v>
      </c>
      <c r="AD131" s="53">
        <f t="shared" si="25"/>
        <v>0</v>
      </c>
      <c r="AF131" s="279">
        <f t="shared" si="26"/>
        <v>885</v>
      </c>
      <c r="AG131" s="280">
        <f t="shared" si="27"/>
        <v>7965</v>
      </c>
      <c r="AH131" s="53">
        <f t="shared" si="28"/>
        <v>882</v>
      </c>
      <c r="AI131" s="53">
        <f t="shared" si="29"/>
        <v>0</v>
      </c>
    </row>
    <row r="132" spans="1:35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1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1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>IF(Notes!$B$2="June",'AEA Funding and Payments'!$X132,ROUND(N132/10,0))</f>
        <v>32333</v>
      </c>
      <c r="S132" s="221">
        <f>IF(Notes!$B$2="June",'AEA Funding and Payments'!$AC132,ROUND(O132/10,0))</f>
        <v>13181</v>
      </c>
      <c r="T132" s="221">
        <f t="shared" si="17"/>
        <v>45514</v>
      </c>
      <c r="U132" s="237"/>
      <c r="V132" s="279">
        <f t="shared" si="18"/>
        <v>32332</v>
      </c>
      <c r="W132" s="280">
        <f t="shared" si="19"/>
        <v>290988</v>
      </c>
      <c r="X132" s="53">
        <f t="shared" si="20"/>
        <v>32333</v>
      </c>
      <c r="Y132" s="53">
        <f t="shared" si="21"/>
        <v>0</v>
      </c>
      <c r="AA132" s="279">
        <f t="shared" si="22"/>
        <v>13177</v>
      </c>
      <c r="AB132" s="280">
        <f t="shared" si="23"/>
        <v>118593</v>
      </c>
      <c r="AC132" s="53">
        <f t="shared" si="24"/>
        <v>13181</v>
      </c>
      <c r="AD132" s="53">
        <f t="shared" si="25"/>
        <v>0</v>
      </c>
      <c r="AF132" s="279">
        <f t="shared" si="26"/>
        <v>5057</v>
      </c>
      <c r="AG132" s="280">
        <f t="shared" si="27"/>
        <v>45513</v>
      </c>
      <c r="AH132" s="53">
        <f t="shared" si="28"/>
        <v>5053</v>
      </c>
      <c r="AI132" s="53">
        <f t="shared" si="29"/>
        <v>0</v>
      </c>
    </row>
    <row r="133" spans="1:35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1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1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>IF(Notes!$B$2="June",'AEA Funding and Payments'!$X133,ROUND(N133/10,0))</f>
        <v>9864</v>
      </c>
      <c r="S133" s="221">
        <f>IF(Notes!$B$2="June",'AEA Funding and Payments'!$AC133,ROUND(O133/10,0))</f>
        <v>4480</v>
      </c>
      <c r="T133" s="221">
        <f t="shared" si="17"/>
        <v>14344</v>
      </c>
      <c r="U133" s="237"/>
      <c r="V133" s="279">
        <f t="shared" si="18"/>
        <v>9866</v>
      </c>
      <c r="W133" s="280">
        <f t="shared" si="19"/>
        <v>88794</v>
      </c>
      <c r="X133" s="53">
        <f t="shared" si="20"/>
        <v>9864</v>
      </c>
      <c r="Y133" s="53">
        <f t="shared" si="21"/>
        <v>0</v>
      </c>
      <c r="AA133" s="279">
        <f t="shared" si="22"/>
        <v>4480</v>
      </c>
      <c r="AB133" s="280">
        <f t="shared" si="23"/>
        <v>40320</v>
      </c>
      <c r="AC133" s="53">
        <f t="shared" si="24"/>
        <v>4480</v>
      </c>
      <c r="AD133" s="53">
        <f t="shared" si="25"/>
        <v>0</v>
      </c>
      <c r="AF133" s="279">
        <f t="shared" si="26"/>
        <v>1594</v>
      </c>
      <c r="AG133" s="280">
        <f t="shared" si="27"/>
        <v>14346</v>
      </c>
      <c r="AH133" s="53">
        <f t="shared" si="28"/>
        <v>1594</v>
      </c>
      <c r="AI133" s="53">
        <f t="shared" si="29"/>
        <v>0</v>
      </c>
    </row>
    <row r="134" spans="1:35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1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1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>IF(Notes!$B$2="June",'AEA Funding and Payments'!$X134,ROUND(N134/10,0))</f>
        <v>14241</v>
      </c>
      <c r="S134" s="221">
        <f>IF(Notes!$B$2="June",'AEA Funding and Payments'!$AC134,ROUND(O134/10,0))</f>
        <v>5802</v>
      </c>
      <c r="T134" s="221">
        <f t="shared" si="17"/>
        <v>20043</v>
      </c>
      <c r="U134" s="237"/>
      <c r="V134" s="279">
        <f t="shared" si="18"/>
        <v>14245</v>
      </c>
      <c r="W134" s="280">
        <f t="shared" si="19"/>
        <v>128205</v>
      </c>
      <c r="X134" s="53">
        <f t="shared" si="20"/>
        <v>14241</v>
      </c>
      <c r="Y134" s="53">
        <f t="shared" si="21"/>
        <v>0</v>
      </c>
      <c r="AA134" s="279">
        <f t="shared" si="22"/>
        <v>5806</v>
      </c>
      <c r="AB134" s="280">
        <f t="shared" si="23"/>
        <v>52254</v>
      </c>
      <c r="AC134" s="53">
        <f t="shared" si="24"/>
        <v>5802</v>
      </c>
      <c r="AD134" s="53">
        <f t="shared" si="25"/>
        <v>0</v>
      </c>
      <c r="AF134" s="279">
        <f t="shared" si="26"/>
        <v>2228</v>
      </c>
      <c r="AG134" s="280">
        <f t="shared" si="27"/>
        <v>20052</v>
      </c>
      <c r="AH134" s="53">
        <f t="shared" si="28"/>
        <v>2226</v>
      </c>
      <c r="AI134" s="53">
        <f t="shared" si="29"/>
        <v>0</v>
      </c>
    </row>
    <row r="135" spans="1:35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1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1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>IF(Notes!$B$2="June",'AEA Funding and Payments'!$X135,ROUND(N135/10,0))</f>
        <v>8330</v>
      </c>
      <c r="S135" s="221">
        <f>IF(Notes!$B$2="June",'AEA Funding and Payments'!$AC135,ROUND(O135/10,0))</f>
        <v>2876</v>
      </c>
      <c r="T135" s="221">
        <f t="shared" si="17"/>
        <v>11206</v>
      </c>
      <c r="U135" s="237"/>
      <c r="V135" s="279">
        <f t="shared" si="18"/>
        <v>8331</v>
      </c>
      <c r="W135" s="280">
        <f t="shared" si="19"/>
        <v>74979</v>
      </c>
      <c r="X135" s="53">
        <f t="shared" si="20"/>
        <v>8330</v>
      </c>
      <c r="Y135" s="53">
        <f t="shared" si="21"/>
        <v>0</v>
      </c>
      <c r="AA135" s="279">
        <f t="shared" si="22"/>
        <v>2872</v>
      </c>
      <c r="AB135" s="280">
        <f t="shared" si="23"/>
        <v>25848</v>
      </c>
      <c r="AC135" s="53">
        <f t="shared" si="24"/>
        <v>2876</v>
      </c>
      <c r="AD135" s="53">
        <f t="shared" si="25"/>
        <v>0</v>
      </c>
      <c r="AF135" s="279">
        <f t="shared" si="26"/>
        <v>1245</v>
      </c>
      <c r="AG135" s="280">
        <f t="shared" si="27"/>
        <v>11205</v>
      </c>
      <c r="AH135" s="53">
        <f t="shared" si="28"/>
        <v>1243</v>
      </c>
      <c r="AI135" s="53">
        <f t="shared" si="29"/>
        <v>0</v>
      </c>
    </row>
    <row r="136" spans="1:35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1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1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>IF(Notes!$B$2="June",'AEA Funding and Payments'!$X136,ROUND(N136/10,0))</f>
        <v>13386</v>
      </c>
      <c r="S136" s="221">
        <f>IF(Notes!$B$2="June",'AEA Funding and Payments'!$AC136,ROUND(O136/10,0))</f>
        <v>6268</v>
      </c>
      <c r="T136" s="221">
        <f t="shared" si="17"/>
        <v>19654</v>
      </c>
      <c r="U136" s="237"/>
      <c r="V136" s="279">
        <f t="shared" si="18"/>
        <v>13387</v>
      </c>
      <c r="W136" s="280">
        <f t="shared" si="19"/>
        <v>120483</v>
      </c>
      <c r="X136" s="53">
        <f t="shared" si="20"/>
        <v>13386</v>
      </c>
      <c r="Y136" s="53">
        <f t="shared" si="21"/>
        <v>0</v>
      </c>
      <c r="AA136" s="279">
        <f t="shared" si="22"/>
        <v>6269</v>
      </c>
      <c r="AB136" s="280">
        <f t="shared" si="23"/>
        <v>56421</v>
      </c>
      <c r="AC136" s="53">
        <f t="shared" si="24"/>
        <v>6268</v>
      </c>
      <c r="AD136" s="53">
        <f t="shared" si="25"/>
        <v>0</v>
      </c>
      <c r="AF136" s="279">
        <f t="shared" si="26"/>
        <v>2184</v>
      </c>
      <c r="AG136" s="280">
        <f t="shared" si="27"/>
        <v>19656</v>
      </c>
      <c r="AH136" s="53">
        <f t="shared" si="28"/>
        <v>2184</v>
      </c>
      <c r="AI136" s="53">
        <f t="shared" si="29"/>
        <v>0</v>
      </c>
    </row>
    <row r="137" spans="1:35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3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3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>IF(Notes!$B$2="June",'AEA Funding and Payments'!$X137,ROUND(N137/10,0))</f>
        <v>6320</v>
      </c>
      <c r="S137" s="221">
        <f>IF(Notes!$B$2="June",'AEA Funding and Payments'!$AC137,ROUND(O137/10,0))</f>
        <v>2749</v>
      </c>
      <c r="T137" s="221">
        <f t="shared" ref="T137:T200" si="32">SUM(R137:S137)</f>
        <v>9069</v>
      </c>
      <c r="U137" s="237"/>
      <c r="V137" s="279">
        <f t="shared" ref="V137:V200" si="33">ROUND(N137/10,0)</f>
        <v>6319</v>
      </c>
      <c r="W137" s="280">
        <f t="shared" ref="W137:W200" si="34">V137*9</f>
        <v>56871</v>
      </c>
      <c r="X137" s="53">
        <f t="shared" ref="X137:X200" si="35">N137-W137</f>
        <v>6320</v>
      </c>
      <c r="Y137" s="53">
        <f t="shared" ref="Y137:Y200" si="36">W137+X137-N137</f>
        <v>0</v>
      </c>
      <c r="AA137" s="279">
        <f t="shared" ref="AA137:AA200" si="37">ROUND(O137/10,0)</f>
        <v>2746</v>
      </c>
      <c r="AB137" s="280">
        <f t="shared" ref="AB137:AB200" si="38">AA137*9</f>
        <v>24714</v>
      </c>
      <c r="AC137" s="53">
        <f t="shared" ref="AC137:AC200" si="39">O137-AB137</f>
        <v>2749</v>
      </c>
      <c r="AD137" s="53">
        <f t="shared" ref="AD137:AD200" si="40">AB137+AC137-O137</f>
        <v>0</v>
      </c>
      <c r="AF137" s="279">
        <f t="shared" ref="AF137:AF200" si="41">ROUND(L137/10,0)</f>
        <v>1007</v>
      </c>
      <c r="AG137" s="280">
        <f t="shared" ref="AG137:AG200" si="42">AF137*9</f>
        <v>9063</v>
      </c>
      <c r="AH137" s="53">
        <f t="shared" ref="AH137:AH200" si="43">L137-AG137</f>
        <v>1010</v>
      </c>
      <c r="AI137" s="53">
        <f t="shared" ref="AI137:AI200" si="44">AG137+AH137-L137</f>
        <v>0</v>
      </c>
    </row>
    <row r="138" spans="1:35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3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3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>IF(Notes!$B$2="June",'AEA Funding and Payments'!$X138,ROUND(N138/10,0))</f>
        <v>4360</v>
      </c>
      <c r="S138" s="221">
        <f>IF(Notes!$B$2="June",'AEA Funding and Payments'!$AC138,ROUND(O138/10,0))</f>
        <v>2109</v>
      </c>
      <c r="T138" s="221">
        <f t="shared" si="32"/>
        <v>6469</v>
      </c>
      <c r="U138" s="237"/>
      <c r="V138" s="279">
        <f t="shared" si="33"/>
        <v>4362</v>
      </c>
      <c r="W138" s="280">
        <f t="shared" si="34"/>
        <v>39258</v>
      </c>
      <c r="X138" s="53">
        <f t="shared" si="35"/>
        <v>4360</v>
      </c>
      <c r="Y138" s="53">
        <f t="shared" si="36"/>
        <v>0</v>
      </c>
      <c r="AA138" s="279">
        <f t="shared" si="37"/>
        <v>2109</v>
      </c>
      <c r="AB138" s="280">
        <f t="shared" si="38"/>
        <v>18981</v>
      </c>
      <c r="AC138" s="53">
        <f t="shared" si="39"/>
        <v>2109</v>
      </c>
      <c r="AD138" s="53">
        <f t="shared" si="40"/>
        <v>0</v>
      </c>
      <c r="AF138" s="279">
        <f t="shared" si="41"/>
        <v>719</v>
      </c>
      <c r="AG138" s="280">
        <f t="shared" si="42"/>
        <v>6471</v>
      </c>
      <c r="AH138" s="53">
        <f t="shared" si="43"/>
        <v>719</v>
      </c>
      <c r="AI138" s="53">
        <f t="shared" si="44"/>
        <v>0</v>
      </c>
    </row>
    <row r="139" spans="1:35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3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3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>IF(Notes!$B$2="June",'AEA Funding and Payments'!$X139,ROUND(N139/10,0))</f>
        <v>23606</v>
      </c>
      <c r="S139" s="221">
        <f>IF(Notes!$B$2="June",'AEA Funding and Payments'!$AC139,ROUND(O139/10,0))</f>
        <v>9616</v>
      </c>
      <c r="T139" s="221">
        <f t="shared" si="32"/>
        <v>33222</v>
      </c>
      <c r="U139" s="237"/>
      <c r="V139" s="279">
        <f t="shared" si="33"/>
        <v>23602</v>
      </c>
      <c r="W139" s="280">
        <f t="shared" si="34"/>
        <v>212418</v>
      </c>
      <c r="X139" s="53">
        <f t="shared" si="35"/>
        <v>23606</v>
      </c>
      <c r="Y139" s="53">
        <f t="shared" si="36"/>
        <v>0</v>
      </c>
      <c r="AA139" s="279">
        <f t="shared" si="37"/>
        <v>9620</v>
      </c>
      <c r="AB139" s="280">
        <f t="shared" si="38"/>
        <v>86580</v>
      </c>
      <c r="AC139" s="53">
        <f t="shared" si="39"/>
        <v>9616</v>
      </c>
      <c r="AD139" s="53">
        <f t="shared" si="40"/>
        <v>0</v>
      </c>
      <c r="AF139" s="279">
        <f t="shared" si="41"/>
        <v>3691</v>
      </c>
      <c r="AG139" s="280">
        <f t="shared" si="42"/>
        <v>33219</v>
      </c>
      <c r="AH139" s="53">
        <f t="shared" si="43"/>
        <v>3694</v>
      </c>
      <c r="AI139" s="53">
        <f t="shared" si="44"/>
        <v>0</v>
      </c>
    </row>
    <row r="140" spans="1:35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3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3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>IF(Notes!$B$2="June",'AEA Funding and Payments'!$X140,ROUND(N140/10,0))</f>
        <v>28591</v>
      </c>
      <c r="S140" s="221">
        <f>IF(Notes!$B$2="June",'AEA Funding and Payments'!$AC140,ROUND(O140/10,0))</f>
        <v>11124</v>
      </c>
      <c r="T140" s="221">
        <f t="shared" si="32"/>
        <v>39715</v>
      </c>
      <c r="U140" s="237"/>
      <c r="V140" s="279">
        <f t="shared" si="33"/>
        <v>28593</v>
      </c>
      <c r="W140" s="280">
        <f t="shared" si="34"/>
        <v>257337</v>
      </c>
      <c r="X140" s="53">
        <f t="shared" si="35"/>
        <v>28591</v>
      </c>
      <c r="Y140" s="53">
        <f t="shared" si="36"/>
        <v>0</v>
      </c>
      <c r="AA140" s="279">
        <f t="shared" si="37"/>
        <v>11128</v>
      </c>
      <c r="AB140" s="280">
        <f t="shared" si="38"/>
        <v>100152</v>
      </c>
      <c r="AC140" s="53">
        <f t="shared" si="39"/>
        <v>11124</v>
      </c>
      <c r="AD140" s="53">
        <f t="shared" si="40"/>
        <v>0</v>
      </c>
      <c r="AF140" s="279">
        <f t="shared" si="41"/>
        <v>4413</v>
      </c>
      <c r="AG140" s="280">
        <f t="shared" si="42"/>
        <v>39717</v>
      </c>
      <c r="AH140" s="53">
        <f t="shared" si="43"/>
        <v>4417</v>
      </c>
      <c r="AI140" s="53">
        <f t="shared" si="44"/>
        <v>0</v>
      </c>
    </row>
    <row r="141" spans="1:35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3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3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>IF(Notes!$B$2="June",'AEA Funding and Payments'!$X141,ROUND(N141/10,0))</f>
        <v>6148</v>
      </c>
      <c r="S141" s="221">
        <f>IF(Notes!$B$2="June",'AEA Funding and Payments'!$AC141,ROUND(O141/10,0))</f>
        <v>2727</v>
      </c>
      <c r="T141" s="221">
        <f t="shared" si="32"/>
        <v>8875</v>
      </c>
      <c r="U141" s="237"/>
      <c r="V141" s="279">
        <f t="shared" si="33"/>
        <v>6145</v>
      </c>
      <c r="W141" s="280">
        <f t="shared" si="34"/>
        <v>55305</v>
      </c>
      <c r="X141" s="53">
        <f t="shared" si="35"/>
        <v>6148</v>
      </c>
      <c r="Y141" s="53">
        <f t="shared" si="36"/>
        <v>0</v>
      </c>
      <c r="AA141" s="279">
        <f t="shared" si="37"/>
        <v>2732</v>
      </c>
      <c r="AB141" s="280">
        <f t="shared" si="38"/>
        <v>24588</v>
      </c>
      <c r="AC141" s="53">
        <f t="shared" si="39"/>
        <v>2727</v>
      </c>
      <c r="AD141" s="53">
        <f t="shared" si="40"/>
        <v>0</v>
      </c>
      <c r="AF141" s="279">
        <f t="shared" si="41"/>
        <v>986</v>
      </c>
      <c r="AG141" s="280">
        <f t="shared" si="42"/>
        <v>8874</v>
      </c>
      <c r="AH141" s="53">
        <f t="shared" si="43"/>
        <v>989</v>
      </c>
      <c r="AI141" s="53">
        <f t="shared" si="44"/>
        <v>0</v>
      </c>
    </row>
    <row r="142" spans="1:35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3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3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>IF(Notes!$B$2="June",'AEA Funding and Payments'!$X142,ROUND(N142/10,0))</f>
        <v>13993</v>
      </c>
      <c r="S142" s="221">
        <f>IF(Notes!$B$2="June",'AEA Funding and Payments'!$AC142,ROUND(O142/10,0))</f>
        <v>5951</v>
      </c>
      <c r="T142" s="221">
        <f t="shared" si="32"/>
        <v>19944</v>
      </c>
      <c r="U142" s="237"/>
      <c r="V142" s="279">
        <f t="shared" si="33"/>
        <v>13990</v>
      </c>
      <c r="W142" s="280">
        <f t="shared" si="34"/>
        <v>125910</v>
      </c>
      <c r="X142" s="53">
        <f t="shared" si="35"/>
        <v>13993</v>
      </c>
      <c r="Y142" s="53">
        <f t="shared" si="36"/>
        <v>0</v>
      </c>
      <c r="AA142" s="279">
        <f t="shared" si="37"/>
        <v>5956</v>
      </c>
      <c r="AB142" s="280">
        <f t="shared" si="38"/>
        <v>53604</v>
      </c>
      <c r="AC142" s="53">
        <f t="shared" si="39"/>
        <v>5951</v>
      </c>
      <c r="AD142" s="53">
        <f t="shared" si="40"/>
        <v>0</v>
      </c>
      <c r="AF142" s="279">
        <f t="shared" si="41"/>
        <v>2216</v>
      </c>
      <c r="AG142" s="280">
        <f t="shared" si="42"/>
        <v>19944</v>
      </c>
      <c r="AH142" s="53">
        <f t="shared" si="43"/>
        <v>2218</v>
      </c>
      <c r="AI142" s="53">
        <f t="shared" si="44"/>
        <v>0</v>
      </c>
    </row>
    <row r="143" spans="1:35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3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3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>IF(Notes!$B$2="June",'AEA Funding and Payments'!$X143,ROUND(N143/10,0))</f>
        <v>11611</v>
      </c>
      <c r="S143" s="221">
        <f>IF(Notes!$B$2="June",'AEA Funding and Payments'!$AC143,ROUND(O143/10,0))</f>
        <v>5138</v>
      </c>
      <c r="T143" s="221">
        <f t="shared" si="32"/>
        <v>16749</v>
      </c>
      <c r="U143" s="237"/>
      <c r="V143" s="279">
        <f t="shared" si="33"/>
        <v>11615</v>
      </c>
      <c r="W143" s="280">
        <f t="shared" si="34"/>
        <v>104535</v>
      </c>
      <c r="X143" s="53">
        <f t="shared" si="35"/>
        <v>11611</v>
      </c>
      <c r="Y143" s="53">
        <f t="shared" si="36"/>
        <v>0</v>
      </c>
      <c r="AA143" s="279">
        <f t="shared" si="37"/>
        <v>5141</v>
      </c>
      <c r="AB143" s="280">
        <f t="shared" si="38"/>
        <v>46269</v>
      </c>
      <c r="AC143" s="53">
        <f t="shared" si="39"/>
        <v>5138</v>
      </c>
      <c r="AD143" s="53">
        <f t="shared" si="40"/>
        <v>0</v>
      </c>
      <c r="AF143" s="279">
        <f t="shared" si="41"/>
        <v>1862</v>
      </c>
      <c r="AG143" s="280">
        <f t="shared" si="42"/>
        <v>16758</v>
      </c>
      <c r="AH143" s="53">
        <f t="shared" si="43"/>
        <v>1859</v>
      </c>
      <c r="AI143" s="53">
        <f t="shared" si="44"/>
        <v>0</v>
      </c>
    </row>
    <row r="144" spans="1:35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3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3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>IF(Notes!$B$2="June",'AEA Funding and Payments'!$X144,ROUND(N144/10,0))</f>
        <v>11710</v>
      </c>
      <c r="S144" s="221">
        <f>IF(Notes!$B$2="June",'AEA Funding and Payments'!$AC144,ROUND(O144/10,0))</f>
        <v>4985</v>
      </c>
      <c r="T144" s="221">
        <f t="shared" si="32"/>
        <v>16695</v>
      </c>
      <c r="U144" s="237"/>
      <c r="V144" s="279">
        <f t="shared" si="33"/>
        <v>11715</v>
      </c>
      <c r="W144" s="280">
        <f t="shared" si="34"/>
        <v>105435</v>
      </c>
      <c r="X144" s="53">
        <f t="shared" si="35"/>
        <v>11710</v>
      </c>
      <c r="Y144" s="53">
        <f t="shared" si="36"/>
        <v>0</v>
      </c>
      <c r="AA144" s="279">
        <f t="shared" si="37"/>
        <v>4987</v>
      </c>
      <c r="AB144" s="280">
        <f t="shared" si="38"/>
        <v>44883</v>
      </c>
      <c r="AC144" s="53">
        <f t="shared" si="39"/>
        <v>4985</v>
      </c>
      <c r="AD144" s="53">
        <f t="shared" si="40"/>
        <v>0</v>
      </c>
      <c r="AF144" s="279">
        <f t="shared" si="41"/>
        <v>1856</v>
      </c>
      <c r="AG144" s="280">
        <f t="shared" si="42"/>
        <v>16704</v>
      </c>
      <c r="AH144" s="53">
        <f t="shared" si="43"/>
        <v>1853</v>
      </c>
      <c r="AI144" s="53">
        <f t="shared" si="44"/>
        <v>0</v>
      </c>
    </row>
    <row r="145" spans="1:35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3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3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>IF(Notes!$B$2="June",'AEA Funding and Payments'!$X145,ROUND(N145/10,0))</f>
        <v>24401</v>
      </c>
      <c r="S145" s="221">
        <f>IF(Notes!$B$2="June",'AEA Funding and Payments'!$AC145,ROUND(O145/10,0))</f>
        <v>11426</v>
      </c>
      <c r="T145" s="221">
        <f t="shared" si="32"/>
        <v>35827</v>
      </c>
      <c r="U145" s="237"/>
      <c r="V145" s="279">
        <f t="shared" si="33"/>
        <v>24397</v>
      </c>
      <c r="W145" s="280">
        <f t="shared" si="34"/>
        <v>219573</v>
      </c>
      <c r="X145" s="53">
        <f t="shared" si="35"/>
        <v>24401</v>
      </c>
      <c r="Y145" s="53">
        <f t="shared" si="36"/>
        <v>0</v>
      </c>
      <c r="AA145" s="279">
        <f t="shared" si="37"/>
        <v>11425</v>
      </c>
      <c r="AB145" s="280">
        <f t="shared" si="38"/>
        <v>102825</v>
      </c>
      <c r="AC145" s="53">
        <f t="shared" si="39"/>
        <v>11426</v>
      </c>
      <c r="AD145" s="53">
        <f t="shared" si="40"/>
        <v>0</v>
      </c>
      <c r="AF145" s="279">
        <f t="shared" si="41"/>
        <v>3980</v>
      </c>
      <c r="AG145" s="280">
        <f t="shared" si="42"/>
        <v>35820</v>
      </c>
      <c r="AH145" s="53">
        <f t="shared" si="43"/>
        <v>3983</v>
      </c>
      <c r="AI145" s="53">
        <f t="shared" si="44"/>
        <v>0</v>
      </c>
    </row>
    <row r="146" spans="1:35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3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3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>IF(Notes!$B$2="June",'AEA Funding and Payments'!$X146,ROUND(N146/10,0))</f>
        <v>8461</v>
      </c>
      <c r="S146" s="221">
        <f>IF(Notes!$B$2="June",'AEA Funding and Payments'!$AC146,ROUND(O146/10,0))</f>
        <v>3449</v>
      </c>
      <c r="T146" s="221">
        <f t="shared" si="32"/>
        <v>11910</v>
      </c>
      <c r="U146" s="237"/>
      <c r="V146" s="279">
        <f t="shared" si="33"/>
        <v>8465</v>
      </c>
      <c r="W146" s="280">
        <f t="shared" si="34"/>
        <v>76185</v>
      </c>
      <c r="X146" s="53">
        <f t="shared" si="35"/>
        <v>8461</v>
      </c>
      <c r="Y146" s="53">
        <f t="shared" si="36"/>
        <v>0</v>
      </c>
      <c r="AA146" s="279">
        <f t="shared" si="37"/>
        <v>3450</v>
      </c>
      <c r="AB146" s="280">
        <f t="shared" si="38"/>
        <v>31050</v>
      </c>
      <c r="AC146" s="53">
        <f t="shared" si="39"/>
        <v>3449</v>
      </c>
      <c r="AD146" s="53">
        <f t="shared" si="40"/>
        <v>0</v>
      </c>
      <c r="AF146" s="279">
        <f t="shared" si="41"/>
        <v>1324</v>
      </c>
      <c r="AG146" s="280">
        <f t="shared" si="42"/>
        <v>11916</v>
      </c>
      <c r="AH146" s="53">
        <f t="shared" si="43"/>
        <v>1322</v>
      </c>
      <c r="AI146" s="53">
        <f t="shared" si="44"/>
        <v>0</v>
      </c>
    </row>
    <row r="147" spans="1:35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3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3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>IF(Notes!$B$2="June",'AEA Funding and Payments'!$X147,ROUND(N147/10,0))</f>
        <v>16224</v>
      </c>
      <c r="S147" s="221">
        <f>IF(Notes!$B$2="June",'AEA Funding and Payments'!$AC147,ROUND(O147/10,0))</f>
        <v>6613</v>
      </c>
      <c r="T147" s="221">
        <f t="shared" si="32"/>
        <v>22837</v>
      </c>
      <c r="U147" s="237"/>
      <c r="V147" s="279">
        <f t="shared" si="33"/>
        <v>16228</v>
      </c>
      <c r="W147" s="280">
        <f t="shared" si="34"/>
        <v>146052</v>
      </c>
      <c r="X147" s="53">
        <f t="shared" si="35"/>
        <v>16224</v>
      </c>
      <c r="Y147" s="53">
        <f t="shared" si="36"/>
        <v>0</v>
      </c>
      <c r="AA147" s="279">
        <f t="shared" si="37"/>
        <v>6614</v>
      </c>
      <c r="AB147" s="280">
        <f t="shared" si="38"/>
        <v>59526</v>
      </c>
      <c r="AC147" s="53">
        <f t="shared" si="39"/>
        <v>6613</v>
      </c>
      <c r="AD147" s="53">
        <f t="shared" si="40"/>
        <v>0</v>
      </c>
      <c r="AF147" s="279">
        <f t="shared" si="41"/>
        <v>2538</v>
      </c>
      <c r="AG147" s="280">
        <f t="shared" si="42"/>
        <v>22842</v>
      </c>
      <c r="AH147" s="53">
        <f t="shared" si="43"/>
        <v>2537</v>
      </c>
      <c r="AI147" s="53">
        <f t="shared" si="44"/>
        <v>0</v>
      </c>
    </row>
    <row r="148" spans="1:35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3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3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>IF(Notes!$B$2="June",'AEA Funding and Payments'!$X148,ROUND(N148/10,0))</f>
        <v>25177</v>
      </c>
      <c r="S148" s="221">
        <f>IF(Notes!$B$2="June",'AEA Funding and Payments'!$AC148,ROUND(O148/10,0))</f>
        <v>11186</v>
      </c>
      <c r="T148" s="221">
        <f t="shared" si="32"/>
        <v>36363</v>
      </c>
      <c r="U148" s="237"/>
      <c r="V148" s="279">
        <f t="shared" si="33"/>
        <v>25176</v>
      </c>
      <c r="W148" s="280">
        <f t="shared" si="34"/>
        <v>226584</v>
      </c>
      <c r="X148" s="53">
        <f t="shared" si="35"/>
        <v>25177</v>
      </c>
      <c r="Y148" s="53">
        <f t="shared" si="36"/>
        <v>0</v>
      </c>
      <c r="AA148" s="279">
        <f t="shared" si="37"/>
        <v>11191</v>
      </c>
      <c r="AB148" s="280">
        <f t="shared" si="38"/>
        <v>100719</v>
      </c>
      <c r="AC148" s="53">
        <f t="shared" si="39"/>
        <v>11186</v>
      </c>
      <c r="AD148" s="53">
        <f t="shared" si="40"/>
        <v>0</v>
      </c>
      <c r="AF148" s="279">
        <f t="shared" si="41"/>
        <v>4041</v>
      </c>
      <c r="AG148" s="280">
        <f t="shared" si="42"/>
        <v>36369</v>
      </c>
      <c r="AH148" s="53">
        <f t="shared" si="43"/>
        <v>4038</v>
      </c>
      <c r="AI148" s="53">
        <f t="shared" si="44"/>
        <v>0</v>
      </c>
    </row>
    <row r="149" spans="1:35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3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3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>IF(Notes!$B$2="June",'AEA Funding and Payments'!$X149,ROUND(N149/10,0))</f>
        <v>28765</v>
      </c>
      <c r="S149" s="221">
        <f>IF(Notes!$B$2="June",'AEA Funding and Payments'!$AC149,ROUND(O149/10,0))</f>
        <v>11723</v>
      </c>
      <c r="T149" s="221">
        <f t="shared" si="32"/>
        <v>40488</v>
      </c>
      <c r="U149" s="237"/>
      <c r="V149" s="279">
        <f t="shared" si="33"/>
        <v>28761</v>
      </c>
      <c r="W149" s="280">
        <f t="shared" si="34"/>
        <v>258849</v>
      </c>
      <c r="X149" s="53">
        <f t="shared" si="35"/>
        <v>28765</v>
      </c>
      <c r="Y149" s="53">
        <f t="shared" si="36"/>
        <v>0</v>
      </c>
      <c r="AA149" s="279">
        <f t="shared" si="37"/>
        <v>11722</v>
      </c>
      <c r="AB149" s="280">
        <f t="shared" si="38"/>
        <v>105498</v>
      </c>
      <c r="AC149" s="53">
        <f t="shared" si="39"/>
        <v>11723</v>
      </c>
      <c r="AD149" s="53">
        <f t="shared" si="40"/>
        <v>0</v>
      </c>
      <c r="AF149" s="279">
        <f t="shared" si="41"/>
        <v>4498</v>
      </c>
      <c r="AG149" s="280">
        <f t="shared" si="42"/>
        <v>40482</v>
      </c>
      <c r="AH149" s="53">
        <f t="shared" si="43"/>
        <v>4500</v>
      </c>
      <c r="AI149" s="53">
        <f t="shared" si="44"/>
        <v>0</v>
      </c>
    </row>
    <row r="150" spans="1:35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3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3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>IF(Notes!$B$2="June",'AEA Funding and Payments'!$X150,ROUND(N150/10,0))</f>
        <v>73790</v>
      </c>
      <c r="S150" s="221">
        <f>IF(Notes!$B$2="June",'AEA Funding and Payments'!$AC150,ROUND(O150/10,0))</f>
        <v>25439</v>
      </c>
      <c r="T150" s="221">
        <f t="shared" si="32"/>
        <v>99229</v>
      </c>
      <c r="U150" s="237"/>
      <c r="V150" s="279">
        <f t="shared" si="33"/>
        <v>73787</v>
      </c>
      <c r="W150" s="280">
        <f t="shared" si="34"/>
        <v>664083</v>
      </c>
      <c r="X150" s="53">
        <f t="shared" si="35"/>
        <v>73790</v>
      </c>
      <c r="Y150" s="53">
        <f t="shared" si="36"/>
        <v>0</v>
      </c>
      <c r="AA150" s="279">
        <f t="shared" si="37"/>
        <v>25442</v>
      </c>
      <c r="AB150" s="280">
        <f t="shared" si="38"/>
        <v>228978</v>
      </c>
      <c r="AC150" s="53">
        <f t="shared" si="39"/>
        <v>25439</v>
      </c>
      <c r="AD150" s="53">
        <f t="shared" si="40"/>
        <v>0</v>
      </c>
      <c r="AF150" s="279">
        <f t="shared" si="41"/>
        <v>11026</v>
      </c>
      <c r="AG150" s="280">
        <f t="shared" si="42"/>
        <v>99234</v>
      </c>
      <c r="AH150" s="53">
        <f t="shared" si="43"/>
        <v>11021</v>
      </c>
      <c r="AI150" s="53">
        <f t="shared" si="44"/>
        <v>0</v>
      </c>
    </row>
    <row r="151" spans="1:35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3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3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>IF(Notes!$B$2="June",'AEA Funding and Payments'!$X151,ROUND(N151/10,0))</f>
        <v>17125</v>
      </c>
      <c r="S151" s="221">
        <f>IF(Notes!$B$2="June",'AEA Funding and Payments'!$AC151,ROUND(O151/10,0))</f>
        <v>5907</v>
      </c>
      <c r="T151" s="221">
        <f t="shared" si="32"/>
        <v>23032</v>
      </c>
      <c r="U151" s="237"/>
      <c r="V151" s="279">
        <f t="shared" si="33"/>
        <v>17124</v>
      </c>
      <c r="W151" s="280">
        <f t="shared" si="34"/>
        <v>154116</v>
      </c>
      <c r="X151" s="53">
        <f t="shared" si="35"/>
        <v>17125</v>
      </c>
      <c r="Y151" s="53">
        <f t="shared" si="36"/>
        <v>0</v>
      </c>
      <c r="AA151" s="279">
        <f t="shared" si="37"/>
        <v>5904</v>
      </c>
      <c r="AB151" s="280">
        <f t="shared" si="38"/>
        <v>53136</v>
      </c>
      <c r="AC151" s="53">
        <f t="shared" si="39"/>
        <v>5907</v>
      </c>
      <c r="AD151" s="53">
        <f t="shared" si="40"/>
        <v>0</v>
      </c>
      <c r="AF151" s="279">
        <f t="shared" si="41"/>
        <v>2559</v>
      </c>
      <c r="AG151" s="280">
        <f t="shared" si="42"/>
        <v>23031</v>
      </c>
      <c r="AH151" s="53">
        <f t="shared" si="43"/>
        <v>2556</v>
      </c>
      <c r="AI151" s="53">
        <f t="shared" si="44"/>
        <v>0</v>
      </c>
    </row>
    <row r="152" spans="1:35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3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3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>IF(Notes!$B$2="June",'AEA Funding and Payments'!$X152,ROUND(N152/10,0))</f>
        <v>304596</v>
      </c>
      <c r="S152" s="221">
        <f>IF(Notes!$B$2="June",'AEA Funding and Payments'!$AC152,ROUND(O152/10,0))</f>
        <v>116923</v>
      </c>
      <c r="T152" s="221">
        <f t="shared" si="32"/>
        <v>421519</v>
      </c>
      <c r="U152" s="237"/>
      <c r="V152" s="279">
        <f t="shared" si="33"/>
        <v>304593</v>
      </c>
      <c r="W152" s="280">
        <f t="shared" si="34"/>
        <v>2741337</v>
      </c>
      <c r="X152" s="53">
        <f t="shared" si="35"/>
        <v>304596</v>
      </c>
      <c r="Y152" s="53">
        <f t="shared" si="36"/>
        <v>0</v>
      </c>
      <c r="AA152" s="279">
        <f t="shared" si="37"/>
        <v>116924</v>
      </c>
      <c r="AB152" s="280">
        <f t="shared" si="38"/>
        <v>1052316</v>
      </c>
      <c r="AC152" s="53">
        <f t="shared" si="39"/>
        <v>116923</v>
      </c>
      <c r="AD152" s="53">
        <f t="shared" si="40"/>
        <v>0</v>
      </c>
      <c r="AF152" s="279">
        <f t="shared" si="41"/>
        <v>46835</v>
      </c>
      <c r="AG152" s="280">
        <f t="shared" si="42"/>
        <v>421515</v>
      </c>
      <c r="AH152" s="53">
        <f t="shared" si="43"/>
        <v>46837</v>
      </c>
      <c r="AI152" s="53">
        <f t="shared" si="44"/>
        <v>0</v>
      </c>
    </row>
    <row r="153" spans="1:35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3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3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>IF(Notes!$B$2="June",'AEA Funding and Payments'!$X153,ROUND(N153/10,0))</f>
        <v>20221</v>
      </c>
      <c r="S153" s="221">
        <f>IF(Notes!$B$2="June",'AEA Funding and Payments'!$AC153,ROUND(O153/10,0))</f>
        <v>8787</v>
      </c>
      <c r="T153" s="221">
        <f t="shared" si="32"/>
        <v>29008</v>
      </c>
      <c r="U153" s="237"/>
      <c r="V153" s="279">
        <f t="shared" si="33"/>
        <v>20221</v>
      </c>
      <c r="W153" s="280">
        <f t="shared" si="34"/>
        <v>181989</v>
      </c>
      <c r="X153" s="53">
        <f t="shared" si="35"/>
        <v>20221</v>
      </c>
      <c r="Y153" s="53">
        <f t="shared" si="36"/>
        <v>0</v>
      </c>
      <c r="AA153" s="279">
        <f t="shared" si="37"/>
        <v>8784</v>
      </c>
      <c r="AB153" s="280">
        <f t="shared" si="38"/>
        <v>79056</v>
      </c>
      <c r="AC153" s="53">
        <f t="shared" si="39"/>
        <v>8787</v>
      </c>
      <c r="AD153" s="53">
        <f t="shared" si="40"/>
        <v>0</v>
      </c>
      <c r="AF153" s="279">
        <f t="shared" si="41"/>
        <v>3223</v>
      </c>
      <c r="AG153" s="280">
        <f t="shared" si="42"/>
        <v>29007</v>
      </c>
      <c r="AH153" s="53">
        <f t="shared" si="43"/>
        <v>3221</v>
      </c>
      <c r="AI153" s="53">
        <f t="shared" si="44"/>
        <v>0</v>
      </c>
    </row>
    <row r="154" spans="1:35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3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3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>IF(Notes!$B$2="June",'AEA Funding and Payments'!$X154,ROUND(N154/10,0))</f>
        <v>10152</v>
      </c>
      <c r="S154" s="221">
        <f>IF(Notes!$B$2="June",'AEA Funding and Payments'!$AC154,ROUND(O154/10,0))</f>
        <v>4244</v>
      </c>
      <c r="T154" s="221">
        <f t="shared" si="32"/>
        <v>14396</v>
      </c>
      <c r="U154" s="237"/>
      <c r="V154" s="279">
        <f t="shared" si="33"/>
        <v>10153</v>
      </c>
      <c r="W154" s="280">
        <f t="shared" si="34"/>
        <v>91377</v>
      </c>
      <c r="X154" s="53">
        <f t="shared" si="35"/>
        <v>10152</v>
      </c>
      <c r="Y154" s="53">
        <f t="shared" si="36"/>
        <v>0</v>
      </c>
      <c r="AA154" s="279">
        <f t="shared" si="37"/>
        <v>4244</v>
      </c>
      <c r="AB154" s="280">
        <f t="shared" si="38"/>
        <v>38196</v>
      </c>
      <c r="AC154" s="53">
        <f t="shared" si="39"/>
        <v>4244</v>
      </c>
      <c r="AD154" s="53">
        <f t="shared" si="40"/>
        <v>0</v>
      </c>
      <c r="AF154" s="279">
        <f t="shared" si="41"/>
        <v>1600</v>
      </c>
      <c r="AG154" s="280">
        <f t="shared" si="42"/>
        <v>14400</v>
      </c>
      <c r="AH154" s="53">
        <f t="shared" si="43"/>
        <v>1597</v>
      </c>
      <c r="AI154" s="53">
        <f t="shared" si="44"/>
        <v>0</v>
      </c>
    </row>
    <row r="155" spans="1:35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3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3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>IF(Notes!$B$2="June",'AEA Funding and Payments'!$X155,ROUND(N155/10,0))</f>
        <v>14729</v>
      </c>
      <c r="S155" s="221">
        <f>IF(Notes!$B$2="June",'AEA Funding and Payments'!$AC155,ROUND(O155/10,0))</f>
        <v>5729</v>
      </c>
      <c r="T155" s="221">
        <f t="shared" si="32"/>
        <v>20458</v>
      </c>
      <c r="U155" s="237"/>
      <c r="V155" s="279">
        <f t="shared" si="33"/>
        <v>14733</v>
      </c>
      <c r="W155" s="280">
        <f t="shared" si="34"/>
        <v>132597</v>
      </c>
      <c r="X155" s="53">
        <f t="shared" si="35"/>
        <v>14729</v>
      </c>
      <c r="Y155" s="53">
        <f t="shared" si="36"/>
        <v>0</v>
      </c>
      <c r="AA155" s="279">
        <f t="shared" si="37"/>
        <v>5734</v>
      </c>
      <c r="AB155" s="280">
        <f t="shared" si="38"/>
        <v>51606</v>
      </c>
      <c r="AC155" s="53">
        <f t="shared" si="39"/>
        <v>5729</v>
      </c>
      <c r="AD155" s="53">
        <f t="shared" si="40"/>
        <v>0</v>
      </c>
      <c r="AF155" s="279">
        <f t="shared" si="41"/>
        <v>2274</v>
      </c>
      <c r="AG155" s="280">
        <f t="shared" si="42"/>
        <v>20466</v>
      </c>
      <c r="AH155" s="53">
        <f t="shared" si="43"/>
        <v>2274</v>
      </c>
      <c r="AI155" s="53">
        <f t="shared" si="44"/>
        <v>0</v>
      </c>
    </row>
    <row r="156" spans="1:35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3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3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>IF(Notes!$B$2="June",'AEA Funding and Payments'!$X156,ROUND(N156/10,0))</f>
        <v>9114</v>
      </c>
      <c r="S156" s="221">
        <f>IF(Notes!$B$2="June",'AEA Funding and Payments'!$AC156,ROUND(O156/10,0))</f>
        <v>3714</v>
      </c>
      <c r="T156" s="221">
        <f t="shared" si="32"/>
        <v>12828</v>
      </c>
      <c r="U156" s="237"/>
      <c r="V156" s="279">
        <f t="shared" si="33"/>
        <v>9115</v>
      </c>
      <c r="W156" s="280">
        <f t="shared" si="34"/>
        <v>82035</v>
      </c>
      <c r="X156" s="53">
        <f t="shared" si="35"/>
        <v>9114</v>
      </c>
      <c r="Y156" s="53">
        <f t="shared" si="36"/>
        <v>0</v>
      </c>
      <c r="AA156" s="279">
        <f t="shared" si="37"/>
        <v>3715</v>
      </c>
      <c r="AB156" s="280">
        <f t="shared" si="38"/>
        <v>33435</v>
      </c>
      <c r="AC156" s="53">
        <f t="shared" si="39"/>
        <v>3714</v>
      </c>
      <c r="AD156" s="53">
        <f t="shared" si="40"/>
        <v>0</v>
      </c>
      <c r="AF156" s="279">
        <f t="shared" si="41"/>
        <v>1426</v>
      </c>
      <c r="AG156" s="280">
        <f t="shared" si="42"/>
        <v>12834</v>
      </c>
      <c r="AH156" s="53">
        <f t="shared" si="43"/>
        <v>1421</v>
      </c>
      <c r="AI156" s="53">
        <f t="shared" si="44"/>
        <v>0</v>
      </c>
    </row>
    <row r="157" spans="1:35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3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3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>IF(Notes!$B$2="June",'AEA Funding and Payments'!$X157,ROUND(N157/10,0))</f>
        <v>25464</v>
      </c>
      <c r="S157" s="221">
        <f>IF(Notes!$B$2="June",'AEA Funding and Payments'!$AC157,ROUND(O157/10,0))</f>
        <v>11324</v>
      </c>
      <c r="T157" s="221">
        <f t="shared" si="32"/>
        <v>36788</v>
      </c>
      <c r="U157" s="237"/>
      <c r="V157" s="279">
        <f t="shared" si="33"/>
        <v>25469</v>
      </c>
      <c r="W157" s="280">
        <f t="shared" si="34"/>
        <v>229221</v>
      </c>
      <c r="X157" s="53">
        <f t="shared" si="35"/>
        <v>25464</v>
      </c>
      <c r="Y157" s="53">
        <f t="shared" si="36"/>
        <v>0</v>
      </c>
      <c r="AA157" s="279">
        <f t="shared" si="37"/>
        <v>11320</v>
      </c>
      <c r="AB157" s="280">
        <f t="shared" si="38"/>
        <v>101880</v>
      </c>
      <c r="AC157" s="53">
        <f t="shared" si="39"/>
        <v>11324</v>
      </c>
      <c r="AD157" s="53">
        <f t="shared" si="40"/>
        <v>0</v>
      </c>
      <c r="AF157" s="279">
        <f t="shared" si="41"/>
        <v>4088</v>
      </c>
      <c r="AG157" s="280">
        <f t="shared" si="42"/>
        <v>36792</v>
      </c>
      <c r="AH157" s="53">
        <f t="shared" si="43"/>
        <v>4085</v>
      </c>
      <c r="AI157" s="53">
        <f t="shared" si="44"/>
        <v>0</v>
      </c>
    </row>
    <row r="158" spans="1:35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3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3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>IF(Notes!$B$2="June",'AEA Funding and Payments'!$X158,ROUND(N158/10,0))</f>
        <v>18208</v>
      </c>
      <c r="S158" s="221">
        <f>IF(Notes!$B$2="June",'AEA Funding and Payments'!$AC158,ROUND(O158/10,0))</f>
        <v>7429</v>
      </c>
      <c r="T158" s="221">
        <f t="shared" si="32"/>
        <v>25637</v>
      </c>
      <c r="U158" s="237"/>
      <c r="V158" s="279">
        <f t="shared" si="33"/>
        <v>18205</v>
      </c>
      <c r="W158" s="280">
        <f t="shared" si="34"/>
        <v>163845</v>
      </c>
      <c r="X158" s="53">
        <f t="shared" si="35"/>
        <v>18208</v>
      </c>
      <c r="Y158" s="53">
        <f t="shared" si="36"/>
        <v>0</v>
      </c>
      <c r="AA158" s="279">
        <f t="shared" si="37"/>
        <v>7429</v>
      </c>
      <c r="AB158" s="280">
        <f t="shared" si="38"/>
        <v>66861</v>
      </c>
      <c r="AC158" s="53">
        <f t="shared" si="39"/>
        <v>7429</v>
      </c>
      <c r="AD158" s="53">
        <f t="shared" si="40"/>
        <v>0</v>
      </c>
      <c r="AF158" s="279">
        <f t="shared" si="41"/>
        <v>2848</v>
      </c>
      <c r="AG158" s="280">
        <f t="shared" si="42"/>
        <v>25632</v>
      </c>
      <c r="AH158" s="53">
        <f t="shared" si="43"/>
        <v>2851</v>
      </c>
      <c r="AI158" s="53">
        <f t="shared" si="44"/>
        <v>0</v>
      </c>
    </row>
    <row r="159" spans="1:35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3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3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>IF(Notes!$B$2="June",'AEA Funding and Payments'!$X159,ROUND(N159/10,0))</f>
        <v>142302</v>
      </c>
      <c r="S159" s="221">
        <f>IF(Notes!$B$2="June",'AEA Funding and Payments'!$AC159,ROUND(O159/10,0))</f>
        <v>49065</v>
      </c>
      <c r="T159" s="221">
        <f t="shared" si="32"/>
        <v>191367</v>
      </c>
      <c r="U159" s="237"/>
      <c r="V159" s="279">
        <f t="shared" si="33"/>
        <v>142298</v>
      </c>
      <c r="W159" s="280">
        <f t="shared" si="34"/>
        <v>1280682</v>
      </c>
      <c r="X159" s="53">
        <f t="shared" si="35"/>
        <v>142302</v>
      </c>
      <c r="Y159" s="53">
        <f t="shared" si="36"/>
        <v>0</v>
      </c>
      <c r="AA159" s="279">
        <f t="shared" si="37"/>
        <v>49064</v>
      </c>
      <c r="AB159" s="280">
        <f t="shared" si="38"/>
        <v>441576</v>
      </c>
      <c r="AC159" s="53">
        <f t="shared" si="39"/>
        <v>49065</v>
      </c>
      <c r="AD159" s="53">
        <f t="shared" si="40"/>
        <v>0</v>
      </c>
      <c r="AF159" s="279">
        <f t="shared" si="41"/>
        <v>21263</v>
      </c>
      <c r="AG159" s="280">
        <f t="shared" si="42"/>
        <v>191367</v>
      </c>
      <c r="AH159" s="53">
        <f t="shared" si="43"/>
        <v>21258</v>
      </c>
      <c r="AI159" s="53">
        <f t="shared" si="44"/>
        <v>0</v>
      </c>
    </row>
    <row r="160" spans="1:35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3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3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>IF(Notes!$B$2="June",'AEA Funding and Payments'!$X160,ROUND(N160/10,0))</f>
        <v>40491</v>
      </c>
      <c r="S160" s="221">
        <f>IF(Notes!$B$2="June",'AEA Funding and Payments'!$AC160,ROUND(O160/10,0))</f>
        <v>15163</v>
      </c>
      <c r="T160" s="221">
        <f t="shared" si="32"/>
        <v>55654</v>
      </c>
      <c r="U160" s="237"/>
      <c r="V160" s="279">
        <f t="shared" si="33"/>
        <v>40490</v>
      </c>
      <c r="W160" s="280">
        <f t="shared" si="34"/>
        <v>364410</v>
      </c>
      <c r="X160" s="53">
        <f t="shared" si="35"/>
        <v>40491</v>
      </c>
      <c r="Y160" s="53">
        <f t="shared" si="36"/>
        <v>0</v>
      </c>
      <c r="AA160" s="279">
        <f t="shared" si="37"/>
        <v>15168</v>
      </c>
      <c r="AB160" s="280">
        <f t="shared" si="38"/>
        <v>136512</v>
      </c>
      <c r="AC160" s="53">
        <f t="shared" si="39"/>
        <v>15163</v>
      </c>
      <c r="AD160" s="53">
        <f t="shared" si="40"/>
        <v>0</v>
      </c>
      <c r="AF160" s="279">
        <f t="shared" si="41"/>
        <v>6184</v>
      </c>
      <c r="AG160" s="280">
        <f t="shared" si="42"/>
        <v>55656</v>
      </c>
      <c r="AH160" s="53">
        <f t="shared" si="43"/>
        <v>6186</v>
      </c>
      <c r="AI160" s="53">
        <f t="shared" si="44"/>
        <v>0</v>
      </c>
    </row>
    <row r="161" spans="1:35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3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3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>IF(Notes!$B$2="June",'AEA Funding and Payments'!$X161,ROUND(N161/10,0))</f>
        <v>6844</v>
      </c>
      <c r="S161" s="221">
        <f>IF(Notes!$B$2="June",'AEA Funding and Payments'!$AC161,ROUND(O161/10,0))</f>
        <v>3228</v>
      </c>
      <c r="T161" s="221">
        <f t="shared" si="32"/>
        <v>10072</v>
      </c>
      <c r="U161" s="237"/>
      <c r="V161" s="279">
        <f t="shared" si="33"/>
        <v>6844</v>
      </c>
      <c r="W161" s="280">
        <f t="shared" si="34"/>
        <v>61596</v>
      </c>
      <c r="X161" s="53">
        <f t="shared" si="35"/>
        <v>6844</v>
      </c>
      <c r="Y161" s="53">
        <f t="shared" si="36"/>
        <v>0</v>
      </c>
      <c r="AA161" s="279">
        <f t="shared" si="37"/>
        <v>3225</v>
      </c>
      <c r="AB161" s="280">
        <f t="shared" si="38"/>
        <v>29025</v>
      </c>
      <c r="AC161" s="53">
        <f t="shared" si="39"/>
        <v>3228</v>
      </c>
      <c r="AD161" s="53">
        <f t="shared" si="40"/>
        <v>0</v>
      </c>
      <c r="AF161" s="279">
        <f t="shared" si="41"/>
        <v>1119</v>
      </c>
      <c r="AG161" s="280">
        <f t="shared" si="42"/>
        <v>10071</v>
      </c>
      <c r="AH161" s="53">
        <f t="shared" si="43"/>
        <v>1117</v>
      </c>
      <c r="AI161" s="53">
        <f t="shared" si="44"/>
        <v>0</v>
      </c>
    </row>
    <row r="162" spans="1:35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3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3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>IF(Notes!$B$2="June",'AEA Funding and Payments'!$X162,ROUND(N162/10,0))</f>
        <v>10193</v>
      </c>
      <c r="S162" s="221">
        <f>IF(Notes!$B$2="June",'AEA Funding and Payments'!$AC162,ROUND(O162/10,0))</f>
        <v>4337</v>
      </c>
      <c r="T162" s="221">
        <f t="shared" si="32"/>
        <v>14530</v>
      </c>
      <c r="U162" s="237"/>
      <c r="V162" s="279">
        <f t="shared" si="33"/>
        <v>10195</v>
      </c>
      <c r="W162" s="280">
        <f t="shared" si="34"/>
        <v>91755</v>
      </c>
      <c r="X162" s="53">
        <f t="shared" si="35"/>
        <v>10193</v>
      </c>
      <c r="Y162" s="53">
        <f t="shared" si="36"/>
        <v>0</v>
      </c>
      <c r="AA162" s="279">
        <f t="shared" si="37"/>
        <v>4340</v>
      </c>
      <c r="AB162" s="280">
        <f t="shared" si="38"/>
        <v>39060</v>
      </c>
      <c r="AC162" s="53">
        <f t="shared" si="39"/>
        <v>4337</v>
      </c>
      <c r="AD162" s="53">
        <f t="shared" si="40"/>
        <v>0</v>
      </c>
      <c r="AF162" s="279">
        <f t="shared" si="41"/>
        <v>1615</v>
      </c>
      <c r="AG162" s="280">
        <f t="shared" si="42"/>
        <v>14535</v>
      </c>
      <c r="AH162" s="53">
        <f t="shared" si="43"/>
        <v>1614</v>
      </c>
      <c r="AI162" s="53">
        <f t="shared" si="44"/>
        <v>0</v>
      </c>
    </row>
    <row r="163" spans="1:35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3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3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>IF(Notes!$B$2="June",'AEA Funding and Payments'!$X163,ROUND(N163/10,0))</f>
        <v>37133</v>
      </c>
      <c r="S163" s="221">
        <f>IF(Notes!$B$2="June",'AEA Funding and Payments'!$AC163,ROUND(O163/10,0))</f>
        <v>12803</v>
      </c>
      <c r="T163" s="221">
        <f t="shared" si="32"/>
        <v>49936</v>
      </c>
      <c r="U163" s="237"/>
      <c r="V163" s="279">
        <f t="shared" si="33"/>
        <v>37129</v>
      </c>
      <c r="W163" s="280">
        <f t="shared" si="34"/>
        <v>334161</v>
      </c>
      <c r="X163" s="53">
        <f t="shared" si="35"/>
        <v>37133</v>
      </c>
      <c r="Y163" s="53">
        <f t="shared" si="36"/>
        <v>0</v>
      </c>
      <c r="AA163" s="279">
        <f t="shared" si="37"/>
        <v>12802</v>
      </c>
      <c r="AB163" s="280">
        <f t="shared" si="38"/>
        <v>115218</v>
      </c>
      <c r="AC163" s="53">
        <f t="shared" si="39"/>
        <v>12803</v>
      </c>
      <c r="AD163" s="53">
        <f t="shared" si="40"/>
        <v>0</v>
      </c>
      <c r="AF163" s="279">
        <f t="shared" si="41"/>
        <v>5548</v>
      </c>
      <c r="AG163" s="280">
        <f t="shared" si="42"/>
        <v>49932</v>
      </c>
      <c r="AH163" s="53">
        <f t="shared" si="43"/>
        <v>5547</v>
      </c>
      <c r="AI163" s="53">
        <f t="shared" si="44"/>
        <v>0</v>
      </c>
    </row>
    <row r="164" spans="1:35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3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3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>IF(Notes!$B$2="June",'AEA Funding and Payments'!$X164,ROUND(N164/10,0))</f>
        <v>11853</v>
      </c>
      <c r="S164" s="221">
        <f>IF(Notes!$B$2="June",'AEA Funding and Payments'!$AC164,ROUND(O164/10,0))</f>
        <v>4828</v>
      </c>
      <c r="T164" s="221">
        <f t="shared" si="32"/>
        <v>16681</v>
      </c>
      <c r="U164" s="237"/>
      <c r="V164" s="279">
        <f t="shared" si="33"/>
        <v>11850</v>
      </c>
      <c r="W164" s="280">
        <f t="shared" si="34"/>
        <v>106650</v>
      </c>
      <c r="X164" s="53">
        <f t="shared" si="35"/>
        <v>11853</v>
      </c>
      <c r="Y164" s="53">
        <f t="shared" si="36"/>
        <v>0</v>
      </c>
      <c r="AA164" s="279">
        <f t="shared" si="37"/>
        <v>4830</v>
      </c>
      <c r="AB164" s="280">
        <f t="shared" si="38"/>
        <v>43470</v>
      </c>
      <c r="AC164" s="53">
        <f t="shared" si="39"/>
        <v>4828</v>
      </c>
      <c r="AD164" s="53">
        <f t="shared" si="40"/>
        <v>0</v>
      </c>
      <c r="AF164" s="279">
        <f t="shared" si="41"/>
        <v>1853</v>
      </c>
      <c r="AG164" s="280">
        <f t="shared" si="42"/>
        <v>16677</v>
      </c>
      <c r="AH164" s="53">
        <f t="shared" si="43"/>
        <v>1857</v>
      </c>
      <c r="AI164" s="53">
        <f t="shared" si="44"/>
        <v>0</v>
      </c>
    </row>
    <row r="165" spans="1:35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3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3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>IF(Notes!$B$2="June",'AEA Funding and Payments'!$X165,ROUND(N165/10,0))</f>
        <v>6217</v>
      </c>
      <c r="S165" s="221">
        <f>IF(Notes!$B$2="June",'AEA Funding and Payments'!$AC165,ROUND(O165/10,0))</f>
        <v>3800</v>
      </c>
      <c r="T165" s="221">
        <f t="shared" si="32"/>
        <v>10017</v>
      </c>
      <c r="U165" s="237"/>
      <c r="V165" s="279">
        <f t="shared" si="33"/>
        <v>6213</v>
      </c>
      <c r="W165" s="280">
        <f t="shared" si="34"/>
        <v>55917</v>
      </c>
      <c r="X165" s="53">
        <f t="shared" si="35"/>
        <v>6217</v>
      </c>
      <c r="Y165" s="53">
        <f t="shared" si="36"/>
        <v>0</v>
      </c>
      <c r="AA165" s="279">
        <f t="shared" si="37"/>
        <v>3799</v>
      </c>
      <c r="AB165" s="280">
        <f t="shared" si="38"/>
        <v>34191</v>
      </c>
      <c r="AC165" s="53">
        <f t="shared" si="39"/>
        <v>3800</v>
      </c>
      <c r="AD165" s="53">
        <f t="shared" si="40"/>
        <v>0</v>
      </c>
      <c r="AF165" s="279">
        <f t="shared" si="41"/>
        <v>1113</v>
      </c>
      <c r="AG165" s="280">
        <f t="shared" si="42"/>
        <v>10017</v>
      </c>
      <c r="AH165" s="53">
        <f t="shared" si="43"/>
        <v>1108</v>
      </c>
      <c r="AI165" s="53">
        <f t="shared" si="44"/>
        <v>0</v>
      </c>
    </row>
    <row r="166" spans="1:35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3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3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>IF(Notes!$B$2="June",'AEA Funding and Payments'!$X166,ROUND(N166/10,0))</f>
        <v>6731</v>
      </c>
      <c r="S166" s="221">
        <f>IF(Notes!$B$2="June",'AEA Funding and Payments'!$AC166,ROUND(O166/10,0))</f>
        <v>3387</v>
      </c>
      <c r="T166" s="221">
        <f t="shared" si="32"/>
        <v>10118</v>
      </c>
      <c r="U166" s="237"/>
      <c r="V166" s="279">
        <f t="shared" si="33"/>
        <v>6727</v>
      </c>
      <c r="W166" s="280">
        <f t="shared" si="34"/>
        <v>60543</v>
      </c>
      <c r="X166" s="53">
        <f t="shared" si="35"/>
        <v>6731</v>
      </c>
      <c r="Y166" s="53">
        <f t="shared" si="36"/>
        <v>0</v>
      </c>
      <c r="AA166" s="279">
        <f t="shared" si="37"/>
        <v>3388</v>
      </c>
      <c r="AB166" s="280">
        <f t="shared" si="38"/>
        <v>30492</v>
      </c>
      <c r="AC166" s="53">
        <f t="shared" si="39"/>
        <v>3387</v>
      </c>
      <c r="AD166" s="53">
        <f t="shared" si="40"/>
        <v>0</v>
      </c>
      <c r="AF166" s="279">
        <f t="shared" si="41"/>
        <v>1124</v>
      </c>
      <c r="AG166" s="280">
        <f t="shared" si="42"/>
        <v>10116</v>
      </c>
      <c r="AH166" s="53">
        <f t="shared" si="43"/>
        <v>1123</v>
      </c>
      <c r="AI166" s="53">
        <f t="shared" si="44"/>
        <v>0</v>
      </c>
    </row>
    <row r="167" spans="1:35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3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3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>IF(Notes!$B$2="June",'AEA Funding and Payments'!$X167,ROUND(N167/10,0))</f>
        <v>12495</v>
      </c>
      <c r="S167" s="221">
        <f>IF(Notes!$B$2="June",'AEA Funding and Payments'!$AC167,ROUND(O167/10,0))</f>
        <v>5317</v>
      </c>
      <c r="T167" s="221">
        <f t="shared" si="32"/>
        <v>17812</v>
      </c>
      <c r="U167" s="237"/>
      <c r="V167" s="279">
        <f t="shared" si="33"/>
        <v>12492</v>
      </c>
      <c r="W167" s="280">
        <f t="shared" si="34"/>
        <v>112428</v>
      </c>
      <c r="X167" s="53">
        <f t="shared" si="35"/>
        <v>12495</v>
      </c>
      <c r="Y167" s="53">
        <f t="shared" si="36"/>
        <v>0</v>
      </c>
      <c r="AA167" s="279">
        <f t="shared" si="37"/>
        <v>5318</v>
      </c>
      <c r="AB167" s="280">
        <f t="shared" si="38"/>
        <v>47862</v>
      </c>
      <c r="AC167" s="53">
        <f t="shared" si="39"/>
        <v>5317</v>
      </c>
      <c r="AD167" s="53">
        <f t="shared" si="40"/>
        <v>0</v>
      </c>
      <c r="AF167" s="279">
        <f t="shared" si="41"/>
        <v>1979</v>
      </c>
      <c r="AG167" s="280">
        <f t="shared" si="42"/>
        <v>17811</v>
      </c>
      <c r="AH167" s="53">
        <f t="shared" si="43"/>
        <v>1978</v>
      </c>
      <c r="AI167" s="53">
        <f t="shared" si="44"/>
        <v>0</v>
      </c>
    </row>
    <row r="168" spans="1:35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3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3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>IF(Notes!$B$2="June",'AEA Funding and Payments'!$X168,ROUND(N168/10,0))</f>
        <v>10488</v>
      </c>
      <c r="S168" s="221">
        <f>IF(Notes!$B$2="June",'AEA Funding and Payments'!$AC168,ROUND(O168/10,0))</f>
        <v>5903</v>
      </c>
      <c r="T168" s="221">
        <f t="shared" si="32"/>
        <v>16391</v>
      </c>
      <c r="U168" s="237"/>
      <c r="V168" s="279">
        <f t="shared" si="33"/>
        <v>10485</v>
      </c>
      <c r="W168" s="280">
        <f t="shared" si="34"/>
        <v>94365</v>
      </c>
      <c r="X168" s="53">
        <f t="shared" si="35"/>
        <v>10488</v>
      </c>
      <c r="Y168" s="53">
        <f t="shared" si="36"/>
        <v>0</v>
      </c>
      <c r="AA168" s="279">
        <f t="shared" si="37"/>
        <v>5900</v>
      </c>
      <c r="AB168" s="280">
        <f t="shared" si="38"/>
        <v>53100</v>
      </c>
      <c r="AC168" s="53">
        <f t="shared" si="39"/>
        <v>5903</v>
      </c>
      <c r="AD168" s="53">
        <f t="shared" si="40"/>
        <v>0</v>
      </c>
      <c r="AF168" s="279">
        <f t="shared" si="41"/>
        <v>1821</v>
      </c>
      <c r="AG168" s="280">
        <f t="shared" si="42"/>
        <v>16389</v>
      </c>
      <c r="AH168" s="53">
        <f t="shared" si="43"/>
        <v>1817</v>
      </c>
      <c r="AI168" s="53">
        <f t="shared" si="44"/>
        <v>0</v>
      </c>
    </row>
    <row r="169" spans="1:35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3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3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>IF(Notes!$B$2="June",'AEA Funding and Payments'!$X169,ROUND(N169/10,0))</f>
        <v>46499</v>
      </c>
      <c r="S169" s="221">
        <f>IF(Notes!$B$2="June",'AEA Funding and Payments'!$AC169,ROUND(O169/10,0))</f>
        <v>19790</v>
      </c>
      <c r="T169" s="221">
        <f t="shared" si="32"/>
        <v>66289</v>
      </c>
      <c r="U169" s="237"/>
      <c r="V169" s="279">
        <f t="shared" si="33"/>
        <v>46498</v>
      </c>
      <c r="W169" s="280">
        <f t="shared" si="34"/>
        <v>418482</v>
      </c>
      <c r="X169" s="53">
        <f t="shared" si="35"/>
        <v>46499</v>
      </c>
      <c r="Y169" s="53">
        <f t="shared" si="36"/>
        <v>0</v>
      </c>
      <c r="AA169" s="279">
        <f t="shared" si="37"/>
        <v>19794</v>
      </c>
      <c r="AB169" s="280">
        <f t="shared" si="38"/>
        <v>178146</v>
      </c>
      <c r="AC169" s="53">
        <f t="shared" si="39"/>
        <v>19790</v>
      </c>
      <c r="AD169" s="53">
        <f t="shared" si="40"/>
        <v>0</v>
      </c>
      <c r="AF169" s="279">
        <f t="shared" si="41"/>
        <v>7366</v>
      </c>
      <c r="AG169" s="280">
        <f t="shared" si="42"/>
        <v>66294</v>
      </c>
      <c r="AH169" s="53">
        <f t="shared" si="43"/>
        <v>7364</v>
      </c>
      <c r="AI169" s="53">
        <f t="shared" si="44"/>
        <v>0</v>
      </c>
    </row>
    <row r="170" spans="1:35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3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3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>IF(Notes!$B$2="June",'AEA Funding and Payments'!$X170,ROUND(N170/10,0))</f>
        <v>9348</v>
      </c>
      <c r="S170" s="221">
        <f>IF(Notes!$B$2="June",'AEA Funding and Payments'!$AC170,ROUND(O170/10,0))</f>
        <v>3711</v>
      </c>
      <c r="T170" s="221">
        <f t="shared" si="32"/>
        <v>13059</v>
      </c>
      <c r="U170" s="237"/>
      <c r="V170" s="279">
        <f t="shared" si="33"/>
        <v>9351</v>
      </c>
      <c r="W170" s="280">
        <f t="shared" si="34"/>
        <v>84159</v>
      </c>
      <c r="X170" s="53">
        <f t="shared" si="35"/>
        <v>9348</v>
      </c>
      <c r="Y170" s="53">
        <f t="shared" si="36"/>
        <v>0</v>
      </c>
      <c r="AA170" s="279">
        <f t="shared" si="37"/>
        <v>3714</v>
      </c>
      <c r="AB170" s="280">
        <f t="shared" si="38"/>
        <v>33426</v>
      </c>
      <c r="AC170" s="53">
        <f t="shared" si="39"/>
        <v>3711</v>
      </c>
      <c r="AD170" s="53">
        <f t="shared" si="40"/>
        <v>0</v>
      </c>
      <c r="AF170" s="279">
        <f t="shared" si="41"/>
        <v>1452</v>
      </c>
      <c r="AG170" s="280">
        <f t="shared" si="42"/>
        <v>13068</v>
      </c>
      <c r="AH170" s="53">
        <f t="shared" si="43"/>
        <v>1448</v>
      </c>
      <c r="AI170" s="53">
        <f t="shared" si="44"/>
        <v>0</v>
      </c>
    </row>
    <row r="171" spans="1:35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3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3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>IF(Notes!$B$2="June",'AEA Funding and Payments'!$X171,ROUND(N171/10,0))</f>
        <v>56916</v>
      </c>
      <c r="S171" s="221">
        <f>IF(Notes!$B$2="June",'AEA Funding and Payments'!$AC171,ROUND(O171/10,0))</f>
        <v>22159</v>
      </c>
      <c r="T171" s="221">
        <f t="shared" si="32"/>
        <v>79075</v>
      </c>
      <c r="U171" s="237"/>
      <c r="V171" s="279">
        <f t="shared" si="33"/>
        <v>56920</v>
      </c>
      <c r="W171" s="280">
        <f t="shared" si="34"/>
        <v>512280</v>
      </c>
      <c r="X171" s="53">
        <f t="shared" si="35"/>
        <v>56916</v>
      </c>
      <c r="Y171" s="53">
        <f t="shared" si="36"/>
        <v>0</v>
      </c>
      <c r="AA171" s="279">
        <f t="shared" si="37"/>
        <v>22163</v>
      </c>
      <c r="AB171" s="280">
        <f t="shared" si="38"/>
        <v>199467</v>
      </c>
      <c r="AC171" s="53">
        <f t="shared" si="39"/>
        <v>22159</v>
      </c>
      <c r="AD171" s="53">
        <f t="shared" si="40"/>
        <v>0</v>
      </c>
      <c r="AF171" s="279">
        <f t="shared" si="41"/>
        <v>8787</v>
      </c>
      <c r="AG171" s="280">
        <f t="shared" si="42"/>
        <v>79083</v>
      </c>
      <c r="AH171" s="53">
        <f t="shared" si="43"/>
        <v>8786</v>
      </c>
      <c r="AI171" s="53">
        <f t="shared" si="44"/>
        <v>0</v>
      </c>
    </row>
    <row r="172" spans="1:35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3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3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>IF(Notes!$B$2="June",'AEA Funding and Payments'!$X172,ROUND(N172/10,0))</f>
        <v>15344</v>
      </c>
      <c r="S172" s="221">
        <f>IF(Notes!$B$2="June",'AEA Funding and Payments'!$AC172,ROUND(O172/10,0))</f>
        <v>5893</v>
      </c>
      <c r="T172" s="221">
        <f t="shared" si="32"/>
        <v>21237</v>
      </c>
      <c r="U172" s="237"/>
      <c r="V172" s="279">
        <f t="shared" si="33"/>
        <v>15342</v>
      </c>
      <c r="W172" s="280">
        <f t="shared" si="34"/>
        <v>138078</v>
      </c>
      <c r="X172" s="53">
        <f t="shared" si="35"/>
        <v>15344</v>
      </c>
      <c r="Y172" s="53">
        <f t="shared" si="36"/>
        <v>0</v>
      </c>
      <c r="AA172" s="279">
        <f t="shared" si="37"/>
        <v>5889</v>
      </c>
      <c r="AB172" s="280">
        <f t="shared" si="38"/>
        <v>53001</v>
      </c>
      <c r="AC172" s="53">
        <f t="shared" si="39"/>
        <v>5893</v>
      </c>
      <c r="AD172" s="53">
        <f t="shared" si="40"/>
        <v>0</v>
      </c>
      <c r="AF172" s="279">
        <f t="shared" si="41"/>
        <v>2359</v>
      </c>
      <c r="AG172" s="280">
        <f t="shared" si="42"/>
        <v>21231</v>
      </c>
      <c r="AH172" s="53">
        <f t="shared" si="43"/>
        <v>2360</v>
      </c>
      <c r="AI172" s="53">
        <f t="shared" si="44"/>
        <v>0</v>
      </c>
    </row>
    <row r="173" spans="1:35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3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3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>IF(Notes!$B$2="June",'AEA Funding and Payments'!$X173,ROUND(N173/10,0))</f>
        <v>156249</v>
      </c>
      <c r="S173" s="221">
        <f>IF(Notes!$B$2="June",'AEA Funding and Payments'!$AC173,ROUND(O173/10,0))</f>
        <v>59977</v>
      </c>
      <c r="T173" s="221">
        <f t="shared" si="32"/>
        <v>216226</v>
      </c>
      <c r="U173" s="237"/>
      <c r="V173" s="279">
        <f t="shared" si="33"/>
        <v>156253</v>
      </c>
      <c r="W173" s="280">
        <f t="shared" si="34"/>
        <v>1406277</v>
      </c>
      <c r="X173" s="53">
        <f t="shared" si="35"/>
        <v>156249</v>
      </c>
      <c r="Y173" s="53">
        <f t="shared" si="36"/>
        <v>0</v>
      </c>
      <c r="AA173" s="279">
        <f t="shared" si="37"/>
        <v>59981</v>
      </c>
      <c r="AB173" s="280">
        <f t="shared" si="38"/>
        <v>539829</v>
      </c>
      <c r="AC173" s="53">
        <f t="shared" si="39"/>
        <v>59977</v>
      </c>
      <c r="AD173" s="53">
        <f t="shared" si="40"/>
        <v>0</v>
      </c>
      <c r="AF173" s="279">
        <f t="shared" si="41"/>
        <v>24026</v>
      </c>
      <c r="AG173" s="280">
        <f t="shared" si="42"/>
        <v>216234</v>
      </c>
      <c r="AH173" s="53">
        <f t="shared" si="43"/>
        <v>24025</v>
      </c>
      <c r="AI173" s="53">
        <f t="shared" si="44"/>
        <v>0</v>
      </c>
    </row>
    <row r="174" spans="1:35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3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3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>IF(Notes!$B$2="June",'AEA Funding and Payments'!$X174,ROUND(N174/10,0))</f>
        <v>14181</v>
      </c>
      <c r="S174" s="221">
        <f>IF(Notes!$B$2="June",'AEA Funding and Payments'!$AC174,ROUND(O174/10,0))</f>
        <v>5446</v>
      </c>
      <c r="T174" s="221">
        <f t="shared" si="32"/>
        <v>19627</v>
      </c>
      <c r="U174" s="237"/>
      <c r="V174" s="279">
        <f t="shared" si="33"/>
        <v>14180</v>
      </c>
      <c r="W174" s="280">
        <f t="shared" si="34"/>
        <v>127620</v>
      </c>
      <c r="X174" s="53">
        <f t="shared" si="35"/>
        <v>14181</v>
      </c>
      <c r="Y174" s="53">
        <f t="shared" si="36"/>
        <v>0</v>
      </c>
      <c r="AA174" s="279">
        <f t="shared" si="37"/>
        <v>5443</v>
      </c>
      <c r="AB174" s="280">
        <f t="shared" si="38"/>
        <v>48987</v>
      </c>
      <c r="AC174" s="53">
        <f t="shared" si="39"/>
        <v>5446</v>
      </c>
      <c r="AD174" s="53">
        <f t="shared" si="40"/>
        <v>0</v>
      </c>
      <c r="AF174" s="279">
        <f t="shared" si="41"/>
        <v>2180</v>
      </c>
      <c r="AG174" s="280">
        <f t="shared" si="42"/>
        <v>19620</v>
      </c>
      <c r="AH174" s="53">
        <f t="shared" si="43"/>
        <v>2184</v>
      </c>
      <c r="AI174" s="53">
        <f t="shared" si="44"/>
        <v>0</v>
      </c>
    </row>
    <row r="175" spans="1:35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3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3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>IF(Notes!$B$2="June",'AEA Funding and Payments'!$X175,ROUND(N175/10,0))</f>
        <v>12068</v>
      </c>
      <c r="S175" s="221">
        <f>IF(Notes!$B$2="June",'AEA Funding and Payments'!$AC175,ROUND(O175/10,0))</f>
        <v>4697</v>
      </c>
      <c r="T175" s="221">
        <f t="shared" si="32"/>
        <v>16765</v>
      </c>
      <c r="U175" s="237"/>
      <c r="V175" s="279">
        <f t="shared" si="33"/>
        <v>12069</v>
      </c>
      <c r="W175" s="280">
        <f t="shared" si="34"/>
        <v>108621</v>
      </c>
      <c r="X175" s="53">
        <f t="shared" si="35"/>
        <v>12068</v>
      </c>
      <c r="Y175" s="53">
        <f t="shared" si="36"/>
        <v>0</v>
      </c>
      <c r="AA175" s="279">
        <f t="shared" si="37"/>
        <v>4697</v>
      </c>
      <c r="AB175" s="280">
        <f t="shared" si="38"/>
        <v>42273</v>
      </c>
      <c r="AC175" s="53">
        <f t="shared" si="39"/>
        <v>4697</v>
      </c>
      <c r="AD175" s="53">
        <f t="shared" si="40"/>
        <v>0</v>
      </c>
      <c r="AF175" s="279">
        <f t="shared" si="41"/>
        <v>1863</v>
      </c>
      <c r="AG175" s="280">
        <f t="shared" si="42"/>
        <v>16767</v>
      </c>
      <c r="AH175" s="53">
        <f t="shared" si="43"/>
        <v>1862</v>
      </c>
      <c r="AI175" s="53">
        <f t="shared" si="44"/>
        <v>0</v>
      </c>
    </row>
    <row r="176" spans="1:35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3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3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>IF(Notes!$B$2="June",'AEA Funding and Payments'!$X176,ROUND(N176/10,0))</f>
        <v>5903</v>
      </c>
      <c r="S176" s="221">
        <f>IF(Notes!$B$2="June",'AEA Funding and Payments'!$AC176,ROUND(O176/10,0))</f>
        <v>3949</v>
      </c>
      <c r="T176" s="221">
        <f t="shared" si="32"/>
        <v>9852</v>
      </c>
      <c r="U176" s="237"/>
      <c r="V176" s="279">
        <f t="shared" si="33"/>
        <v>5906</v>
      </c>
      <c r="W176" s="280">
        <f t="shared" si="34"/>
        <v>53154</v>
      </c>
      <c r="X176" s="53">
        <f t="shared" si="35"/>
        <v>5903</v>
      </c>
      <c r="Y176" s="53">
        <f t="shared" si="36"/>
        <v>0</v>
      </c>
      <c r="AA176" s="279">
        <f t="shared" si="37"/>
        <v>3951</v>
      </c>
      <c r="AB176" s="280">
        <f t="shared" si="38"/>
        <v>35559</v>
      </c>
      <c r="AC176" s="53">
        <f t="shared" si="39"/>
        <v>3949</v>
      </c>
      <c r="AD176" s="53">
        <f t="shared" si="40"/>
        <v>0</v>
      </c>
      <c r="AF176" s="279">
        <f t="shared" si="41"/>
        <v>1095</v>
      </c>
      <c r="AG176" s="280">
        <f t="shared" si="42"/>
        <v>9855</v>
      </c>
      <c r="AH176" s="53">
        <f t="shared" si="43"/>
        <v>1097</v>
      </c>
      <c r="AI176" s="53">
        <f t="shared" si="44"/>
        <v>0</v>
      </c>
    </row>
    <row r="177" spans="1:35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3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3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>IF(Notes!$B$2="June",'AEA Funding and Payments'!$X177,ROUND(N177/10,0))</f>
        <v>14197</v>
      </c>
      <c r="S177" s="221">
        <f>IF(Notes!$B$2="June",'AEA Funding and Payments'!$AC177,ROUND(O177/10,0))</f>
        <v>5600</v>
      </c>
      <c r="T177" s="221">
        <f t="shared" si="32"/>
        <v>19797</v>
      </c>
      <c r="U177" s="237"/>
      <c r="V177" s="279">
        <f t="shared" si="33"/>
        <v>14193</v>
      </c>
      <c r="W177" s="280">
        <f t="shared" si="34"/>
        <v>127737</v>
      </c>
      <c r="X177" s="53">
        <f t="shared" si="35"/>
        <v>14197</v>
      </c>
      <c r="Y177" s="53">
        <f t="shared" si="36"/>
        <v>0</v>
      </c>
      <c r="AA177" s="279">
        <f t="shared" si="37"/>
        <v>5599</v>
      </c>
      <c r="AB177" s="280">
        <f t="shared" si="38"/>
        <v>50391</v>
      </c>
      <c r="AC177" s="53">
        <f t="shared" si="39"/>
        <v>5600</v>
      </c>
      <c r="AD177" s="53">
        <f t="shared" si="40"/>
        <v>0</v>
      </c>
      <c r="AF177" s="279">
        <f t="shared" si="41"/>
        <v>2199</v>
      </c>
      <c r="AG177" s="280">
        <f t="shared" si="42"/>
        <v>19791</v>
      </c>
      <c r="AH177" s="53">
        <f t="shared" si="43"/>
        <v>2201</v>
      </c>
      <c r="AI177" s="53">
        <f t="shared" si="44"/>
        <v>0</v>
      </c>
    </row>
    <row r="178" spans="1:35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3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3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>IF(Notes!$B$2="June",'AEA Funding and Payments'!$X178,ROUND(N178/10,0))</f>
        <v>9112</v>
      </c>
      <c r="S178" s="221">
        <f>IF(Notes!$B$2="June",'AEA Funding and Payments'!$AC178,ROUND(O178/10,0))</f>
        <v>3234</v>
      </c>
      <c r="T178" s="221">
        <f t="shared" si="32"/>
        <v>12346</v>
      </c>
      <c r="U178" s="237"/>
      <c r="V178" s="279">
        <f t="shared" si="33"/>
        <v>9108</v>
      </c>
      <c r="W178" s="280">
        <f t="shared" si="34"/>
        <v>81972</v>
      </c>
      <c r="X178" s="53">
        <f t="shared" si="35"/>
        <v>9112</v>
      </c>
      <c r="Y178" s="53">
        <f t="shared" si="36"/>
        <v>0</v>
      </c>
      <c r="AA178" s="279">
        <f t="shared" si="37"/>
        <v>3234</v>
      </c>
      <c r="AB178" s="280">
        <f t="shared" si="38"/>
        <v>29106</v>
      </c>
      <c r="AC178" s="53">
        <f t="shared" si="39"/>
        <v>3234</v>
      </c>
      <c r="AD178" s="53">
        <f t="shared" si="40"/>
        <v>0</v>
      </c>
      <c r="AF178" s="279">
        <f t="shared" si="41"/>
        <v>1371</v>
      </c>
      <c r="AG178" s="280">
        <f t="shared" si="42"/>
        <v>12339</v>
      </c>
      <c r="AH178" s="53">
        <f t="shared" si="43"/>
        <v>1375</v>
      </c>
      <c r="AI178" s="53">
        <f t="shared" si="44"/>
        <v>0</v>
      </c>
    </row>
    <row r="179" spans="1:35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3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3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>IF(Notes!$B$2="June",'AEA Funding and Payments'!$X179,ROUND(N179/10,0))</f>
        <v>12973</v>
      </c>
      <c r="S179" s="221">
        <f>IF(Notes!$B$2="June",'AEA Funding and Payments'!$AC179,ROUND(O179/10,0))</f>
        <v>5463</v>
      </c>
      <c r="T179" s="221">
        <f t="shared" si="32"/>
        <v>18436</v>
      </c>
      <c r="U179" s="237"/>
      <c r="V179" s="279">
        <f t="shared" si="33"/>
        <v>12977</v>
      </c>
      <c r="W179" s="280">
        <f t="shared" si="34"/>
        <v>116793</v>
      </c>
      <c r="X179" s="53">
        <f t="shared" si="35"/>
        <v>12973</v>
      </c>
      <c r="Y179" s="53">
        <f t="shared" si="36"/>
        <v>0</v>
      </c>
      <c r="AA179" s="279">
        <f t="shared" si="37"/>
        <v>5460</v>
      </c>
      <c r="AB179" s="280">
        <f t="shared" si="38"/>
        <v>49140</v>
      </c>
      <c r="AC179" s="53">
        <f t="shared" si="39"/>
        <v>5463</v>
      </c>
      <c r="AD179" s="53">
        <f t="shared" si="40"/>
        <v>0</v>
      </c>
      <c r="AF179" s="279">
        <f t="shared" si="41"/>
        <v>2049</v>
      </c>
      <c r="AG179" s="280">
        <f t="shared" si="42"/>
        <v>18441</v>
      </c>
      <c r="AH179" s="53">
        <f t="shared" si="43"/>
        <v>2045</v>
      </c>
      <c r="AI179" s="53">
        <f t="shared" si="44"/>
        <v>0</v>
      </c>
    </row>
    <row r="180" spans="1:35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3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3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>IF(Notes!$B$2="June",'AEA Funding and Payments'!$X180,ROUND(N180/10,0))</f>
        <v>11932</v>
      </c>
      <c r="S180" s="221">
        <f>IF(Notes!$B$2="June",'AEA Funding and Payments'!$AC180,ROUND(O180/10,0))</f>
        <v>4645</v>
      </c>
      <c r="T180" s="221">
        <f t="shared" si="32"/>
        <v>16577</v>
      </c>
      <c r="U180" s="237"/>
      <c r="V180" s="279">
        <f t="shared" si="33"/>
        <v>11931</v>
      </c>
      <c r="W180" s="280">
        <f t="shared" si="34"/>
        <v>107379</v>
      </c>
      <c r="X180" s="53">
        <f t="shared" si="35"/>
        <v>11932</v>
      </c>
      <c r="Y180" s="53">
        <f t="shared" si="36"/>
        <v>0</v>
      </c>
      <c r="AA180" s="279">
        <f t="shared" si="37"/>
        <v>4643</v>
      </c>
      <c r="AB180" s="280">
        <f t="shared" si="38"/>
        <v>41787</v>
      </c>
      <c r="AC180" s="53">
        <f t="shared" si="39"/>
        <v>4645</v>
      </c>
      <c r="AD180" s="53">
        <f t="shared" si="40"/>
        <v>0</v>
      </c>
      <c r="AF180" s="279">
        <f t="shared" si="41"/>
        <v>1842</v>
      </c>
      <c r="AG180" s="280">
        <f t="shared" si="42"/>
        <v>16578</v>
      </c>
      <c r="AH180" s="53">
        <f t="shared" si="43"/>
        <v>1838</v>
      </c>
      <c r="AI180" s="53">
        <f t="shared" si="44"/>
        <v>0</v>
      </c>
    </row>
    <row r="181" spans="1:35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3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3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>IF(Notes!$B$2="June",'AEA Funding and Payments'!$X181,ROUND(N181/10,0))</f>
        <v>13530</v>
      </c>
      <c r="S181" s="221">
        <f>IF(Notes!$B$2="June",'AEA Funding and Payments'!$AC181,ROUND(O181/10,0))</f>
        <v>6012</v>
      </c>
      <c r="T181" s="221">
        <f t="shared" si="32"/>
        <v>19542</v>
      </c>
      <c r="U181" s="237"/>
      <c r="V181" s="279">
        <f t="shared" si="33"/>
        <v>13534</v>
      </c>
      <c r="W181" s="280">
        <f t="shared" si="34"/>
        <v>121806</v>
      </c>
      <c r="X181" s="53">
        <f t="shared" si="35"/>
        <v>13530</v>
      </c>
      <c r="Y181" s="53">
        <f t="shared" si="36"/>
        <v>0</v>
      </c>
      <c r="AA181" s="279">
        <f t="shared" si="37"/>
        <v>6016</v>
      </c>
      <c r="AB181" s="280">
        <f t="shared" si="38"/>
        <v>54144</v>
      </c>
      <c r="AC181" s="53">
        <f t="shared" si="39"/>
        <v>6012</v>
      </c>
      <c r="AD181" s="53">
        <f t="shared" si="40"/>
        <v>0</v>
      </c>
      <c r="AF181" s="279">
        <f t="shared" si="41"/>
        <v>2172</v>
      </c>
      <c r="AG181" s="280">
        <f t="shared" si="42"/>
        <v>19548</v>
      </c>
      <c r="AH181" s="53">
        <f t="shared" si="43"/>
        <v>2173</v>
      </c>
      <c r="AI181" s="53">
        <f t="shared" si="44"/>
        <v>0</v>
      </c>
    </row>
    <row r="182" spans="1:35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3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3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>IF(Notes!$B$2="June",'AEA Funding and Payments'!$X182,ROUND(N182/10,0))</f>
        <v>11566</v>
      </c>
      <c r="S182" s="221">
        <f>IF(Notes!$B$2="June",'AEA Funding and Payments'!$AC182,ROUND(O182/10,0))</f>
        <v>6286</v>
      </c>
      <c r="T182" s="221">
        <f t="shared" si="32"/>
        <v>17852</v>
      </c>
      <c r="U182" s="237"/>
      <c r="V182" s="279">
        <f t="shared" si="33"/>
        <v>11569</v>
      </c>
      <c r="W182" s="280">
        <f t="shared" si="34"/>
        <v>104121</v>
      </c>
      <c r="X182" s="53">
        <f t="shared" si="35"/>
        <v>11566</v>
      </c>
      <c r="Y182" s="53">
        <f t="shared" si="36"/>
        <v>0</v>
      </c>
      <c r="AA182" s="279">
        <f t="shared" si="37"/>
        <v>6291</v>
      </c>
      <c r="AB182" s="280">
        <f t="shared" si="38"/>
        <v>56619</v>
      </c>
      <c r="AC182" s="53">
        <f t="shared" si="39"/>
        <v>6286</v>
      </c>
      <c r="AD182" s="53">
        <f t="shared" si="40"/>
        <v>0</v>
      </c>
      <c r="AF182" s="279">
        <f t="shared" si="41"/>
        <v>1984</v>
      </c>
      <c r="AG182" s="280">
        <f t="shared" si="42"/>
        <v>17856</v>
      </c>
      <c r="AH182" s="53">
        <f t="shared" si="43"/>
        <v>1988</v>
      </c>
      <c r="AI182" s="53">
        <f t="shared" si="44"/>
        <v>0</v>
      </c>
    </row>
    <row r="183" spans="1:35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3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3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>IF(Notes!$B$2="June",'AEA Funding and Payments'!$X183,ROUND(N183/10,0))</f>
        <v>27579</v>
      </c>
      <c r="S183" s="221">
        <f>IF(Notes!$B$2="June",'AEA Funding and Payments'!$AC183,ROUND(O183/10,0))</f>
        <v>11017</v>
      </c>
      <c r="T183" s="221">
        <f t="shared" si="32"/>
        <v>38596</v>
      </c>
      <c r="U183" s="237"/>
      <c r="V183" s="279">
        <f t="shared" si="33"/>
        <v>27575</v>
      </c>
      <c r="W183" s="280">
        <f t="shared" si="34"/>
        <v>248175</v>
      </c>
      <c r="X183" s="53">
        <f t="shared" si="35"/>
        <v>27579</v>
      </c>
      <c r="Y183" s="53">
        <f t="shared" si="36"/>
        <v>0</v>
      </c>
      <c r="AA183" s="279">
        <f t="shared" si="37"/>
        <v>11019</v>
      </c>
      <c r="AB183" s="280">
        <f t="shared" si="38"/>
        <v>99171</v>
      </c>
      <c r="AC183" s="53">
        <f t="shared" si="39"/>
        <v>11017</v>
      </c>
      <c r="AD183" s="53">
        <f t="shared" si="40"/>
        <v>0</v>
      </c>
      <c r="AF183" s="279">
        <f t="shared" si="41"/>
        <v>4288</v>
      </c>
      <c r="AG183" s="280">
        <f t="shared" si="42"/>
        <v>38592</v>
      </c>
      <c r="AH183" s="53">
        <f t="shared" si="43"/>
        <v>4290</v>
      </c>
      <c r="AI183" s="53">
        <f t="shared" si="44"/>
        <v>0</v>
      </c>
    </row>
    <row r="184" spans="1:35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3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3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>IF(Notes!$B$2="June",'AEA Funding and Payments'!$X184,ROUND(N184/10,0))</f>
        <v>13977</v>
      </c>
      <c r="S184" s="221">
        <f>IF(Notes!$B$2="June",'AEA Funding and Payments'!$AC184,ROUND(O184/10,0))</f>
        <v>6544</v>
      </c>
      <c r="T184" s="221">
        <f t="shared" si="32"/>
        <v>20521</v>
      </c>
      <c r="U184" s="237"/>
      <c r="V184" s="279">
        <f t="shared" si="33"/>
        <v>13976</v>
      </c>
      <c r="W184" s="280">
        <f t="shared" si="34"/>
        <v>125784</v>
      </c>
      <c r="X184" s="53">
        <f t="shared" si="35"/>
        <v>13977</v>
      </c>
      <c r="Y184" s="53">
        <f t="shared" si="36"/>
        <v>0</v>
      </c>
      <c r="AA184" s="279">
        <f t="shared" si="37"/>
        <v>6545</v>
      </c>
      <c r="AB184" s="280">
        <f t="shared" si="38"/>
        <v>58905</v>
      </c>
      <c r="AC184" s="53">
        <f t="shared" si="39"/>
        <v>6544</v>
      </c>
      <c r="AD184" s="53">
        <f t="shared" si="40"/>
        <v>0</v>
      </c>
      <c r="AF184" s="279">
        <f t="shared" si="41"/>
        <v>2280</v>
      </c>
      <c r="AG184" s="280">
        <f t="shared" si="42"/>
        <v>20520</v>
      </c>
      <c r="AH184" s="53">
        <f t="shared" si="43"/>
        <v>2281</v>
      </c>
      <c r="AI184" s="53">
        <f t="shared" si="44"/>
        <v>0</v>
      </c>
    </row>
    <row r="185" spans="1:35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3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3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>IF(Notes!$B$2="June",'AEA Funding and Payments'!$X185,ROUND(N185/10,0))</f>
        <v>9483</v>
      </c>
      <c r="S185" s="221">
        <f>IF(Notes!$B$2="June",'AEA Funding and Payments'!$AC185,ROUND(O185/10,0))</f>
        <v>4327</v>
      </c>
      <c r="T185" s="221">
        <f t="shared" si="32"/>
        <v>13810</v>
      </c>
      <c r="U185" s="237"/>
      <c r="V185" s="279">
        <f t="shared" si="33"/>
        <v>9486</v>
      </c>
      <c r="W185" s="280">
        <f t="shared" si="34"/>
        <v>85374</v>
      </c>
      <c r="X185" s="53">
        <f t="shared" si="35"/>
        <v>9483</v>
      </c>
      <c r="Y185" s="53">
        <f t="shared" si="36"/>
        <v>0</v>
      </c>
      <c r="AA185" s="279">
        <f t="shared" si="37"/>
        <v>4323</v>
      </c>
      <c r="AB185" s="280">
        <f t="shared" si="38"/>
        <v>38907</v>
      </c>
      <c r="AC185" s="53">
        <f t="shared" si="39"/>
        <v>4327</v>
      </c>
      <c r="AD185" s="53">
        <f t="shared" si="40"/>
        <v>0</v>
      </c>
      <c r="AF185" s="279">
        <f t="shared" si="41"/>
        <v>1534</v>
      </c>
      <c r="AG185" s="280">
        <f t="shared" si="42"/>
        <v>13806</v>
      </c>
      <c r="AH185" s="53">
        <f t="shared" si="43"/>
        <v>1538</v>
      </c>
      <c r="AI185" s="53">
        <f t="shared" si="44"/>
        <v>0</v>
      </c>
    </row>
    <row r="186" spans="1:35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3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3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>IF(Notes!$B$2="June",'AEA Funding and Payments'!$X186,ROUND(N186/10,0))</f>
        <v>37396</v>
      </c>
      <c r="S186" s="221">
        <f>IF(Notes!$B$2="June",'AEA Funding and Payments'!$AC186,ROUND(O186/10,0))</f>
        <v>14420</v>
      </c>
      <c r="T186" s="221">
        <f t="shared" si="32"/>
        <v>51816</v>
      </c>
      <c r="U186" s="237"/>
      <c r="V186" s="279">
        <f t="shared" si="33"/>
        <v>37395</v>
      </c>
      <c r="W186" s="280">
        <f t="shared" si="34"/>
        <v>336555</v>
      </c>
      <c r="X186" s="53">
        <f t="shared" si="35"/>
        <v>37396</v>
      </c>
      <c r="Y186" s="53">
        <f t="shared" si="36"/>
        <v>0</v>
      </c>
      <c r="AA186" s="279">
        <f t="shared" si="37"/>
        <v>14416</v>
      </c>
      <c r="AB186" s="280">
        <f t="shared" si="38"/>
        <v>129744</v>
      </c>
      <c r="AC186" s="53">
        <f t="shared" si="39"/>
        <v>14420</v>
      </c>
      <c r="AD186" s="53">
        <f t="shared" si="40"/>
        <v>0</v>
      </c>
      <c r="AF186" s="279">
        <f t="shared" si="41"/>
        <v>5757</v>
      </c>
      <c r="AG186" s="280">
        <f t="shared" si="42"/>
        <v>51813</v>
      </c>
      <c r="AH186" s="53">
        <f t="shared" si="43"/>
        <v>5755</v>
      </c>
      <c r="AI186" s="53">
        <f t="shared" si="44"/>
        <v>0</v>
      </c>
    </row>
    <row r="187" spans="1:35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3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3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>IF(Notes!$B$2="June",'AEA Funding and Payments'!$X187,ROUND(N187/10,0))</f>
        <v>115620</v>
      </c>
      <c r="S187" s="221">
        <f>IF(Notes!$B$2="June",'AEA Funding and Payments'!$AC187,ROUND(O187/10,0))</f>
        <v>47124</v>
      </c>
      <c r="T187" s="221">
        <f t="shared" si="32"/>
        <v>162744</v>
      </c>
      <c r="U187" s="237"/>
      <c r="V187" s="279">
        <f t="shared" si="33"/>
        <v>115616</v>
      </c>
      <c r="W187" s="280">
        <f t="shared" si="34"/>
        <v>1040544</v>
      </c>
      <c r="X187" s="53">
        <f t="shared" si="35"/>
        <v>115620</v>
      </c>
      <c r="Y187" s="53">
        <f t="shared" si="36"/>
        <v>0</v>
      </c>
      <c r="AA187" s="279">
        <f t="shared" si="37"/>
        <v>47121</v>
      </c>
      <c r="AB187" s="280">
        <f t="shared" si="38"/>
        <v>424089</v>
      </c>
      <c r="AC187" s="53">
        <f t="shared" si="39"/>
        <v>47124</v>
      </c>
      <c r="AD187" s="53">
        <f t="shared" si="40"/>
        <v>0</v>
      </c>
      <c r="AF187" s="279">
        <f t="shared" si="41"/>
        <v>18082</v>
      </c>
      <c r="AG187" s="280">
        <f t="shared" si="42"/>
        <v>162738</v>
      </c>
      <c r="AH187" s="53">
        <f t="shared" si="43"/>
        <v>18082</v>
      </c>
      <c r="AI187" s="53">
        <f t="shared" si="44"/>
        <v>0</v>
      </c>
    </row>
    <row r="188" spans="1:35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3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3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>IF(Notes!$B$2="June",'AEA Funding and Payments'!$X188,ROUND(N188/10,0))</f>
        <v>9941</v>
      </c>
      <c r="S188" s="221">
        <f>IF(Notes!$B$2="June",'AEA Funding and Payments'!$AC188,ROUND(O188/10,0))</f>
        <v>3497</v>
      </c>
      <c r="T188" s="221">
        <f t="shared" si="32"/>
        <v>13438</v>
      </c>
      <c r="U188" s="237"/>
      <c r="V188" s="279">
        <f t="shared" si="33"/>
        <v>9943</v>
      </c>
      <c r="W188" s="280">
        <f t="shared" si="34"/>
        <v>89487</v>
      </c>
      <c r="X188" s="53">
        <f t="shared" si="35"/>
        <v>9941</v>
      </c>
      <c r="Y188" s="53">
        <f t="shared" si="36"/>
        <v>0</v>
      </c>
      <c r="AA188" s="279">
        <f t="shared" si="37"/>
        <v>3500</v>
      </c>
      <c r="AB188" s="280">
        <f t="shared" si="38"/>
        <v>31500</v>
      </c>
      <c r="AC188" s="53">
        <f t="shared" si="39"/>
        <v>3497</v>
      </c>
      <c r="AD188" s="53">
        <f t="shared" si="40"/>
        <v>0</v>
      </c>
      <c r="AF188" s="279">
        <f t="shared" si="41"/>
        <v>1494</v>
      </c>
      <c r="AG188" s="280">
        <f t="shared" si="42"/>
        <v>13446</v>
      </c>
      <c r="AH188" s="53">
        <f t="shared" si="43"/>
        <v>1490</v>
      </c>
      <c r="AI188" s="53">
        <f t="shared" si="44"/>
        <v>0</v>
      </c>
    </row>
    <row r="189" spans="1:35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3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3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>IF(Notes!$B$2="June",'AEA Funding and Payments'!$X189,ROUND(N189/10,0))</f>
        <v>72957</v>
      </c>
      <c r="S189" s="221">
        <f>IF(Notes!$B$2="June",'AEA Funding and Payments'!$AC189,ROUND(O189/10,0))</f>
        <v>30236</v>
      </c>
      <c r="T189" s="221">
        <f t="shared" si="32"/>
        <v>103193</v>
      </c>
      <c r="U189" s="237"/>
      <c r="V189" s="279">
        <f t="shared" si="33"/>
        <v>72954</v>
      </c>
      <c r="W189" s="280">
        <f t="shared" si="34"/>
        <v>656586</v>
      </c>
      <c r="X189" s="53">
        <f t="shared" si="35"/>
        <v>72957</v>
      </c>
      <c r="Y189" s="53">
        <f t="shared" si="36"/>
        <v>0</v>
      </c>
      <c r="AA189" s="279">
        <f t="shared" si="37"/>
        <v>30240</v>
      </c>
      <c r="AB189" s="280">
        <f t="shared" si="38"/>
        <v>272160</v>
      </c>
      <c r="AC189" s="53">
        <f t="shared" si="39"/>
        <v>30236</v>
      </c>
      <c r="AD189" s="53">
        <f t="shared" si="40"/>
        <v>0</v>
      </c>
      <c r="AF189" s="279">
        <f t="shared" si="41"/>
        <v>11466</v>
      </c>
      <c r="AG189" s="280">
        <f t="shared" si="42"/>
        <v>103194</v>
      </c>
      <c r="AH189" s="53">
        <f t="shared" si="43"/>
        <v>11466</v>
      </c>
      <c r="AI189" s="53">
        <f t="shared" si="44"/>
        <v>0</v>
      </c>
    </row>
    <row r="190" spans="1:35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3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3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>IF(Notes!$B$2="June",'AEA Funding and Payments'!$X190,ROUND(N190/10,0))</f>
        <v>32640</v>
      </c>
      <c r="S190" s="221">
        <f>IF(Notes!$B$2="June",'AEA Funding and Payments'!$AC190,ROUND(O190/10,0))</f>
        <v>13898</v>
      </c>
      <c r="T190" s="221">
        <f t="shared" si="32"/>
        <v>46538</v>
      </c>
      <c r="U190" s="237"/>
      <c r="V190" s="279">
        <f t="shared" si="33"/>
        <v>32640</v>
      </c>
      <c r="W190" s="280">
        <f t="shared" si="34"/>
        <v>293760</v>
      </c>
      <c r="X190" s="53">
        <f t="shared" si="35"/>
        <v>32640</v>
      </c>
      <c r="Y190" s="53">
        <f t="shared" si="36"/>
        <v>0</v>
      </c>
      <c r="AA190" s="279">
        <f t="shared" si="37"/>
        <v>13894</v>
      </c>
      <c r="AB190" s="280">
        <f t="shared" si="38"/>
        <v>125046</v>
      </c>
      <c r="AC190" s="53">
        <f t="shared" si="39"/>
        <v>13898</v>
      </c>
      <c r="AD190" s="53">
        <f t="shared" si="40"/>
        <v>0</v>
      </c>
      <c r="AF190" s="279">
        <f t="shared" si="41"/>
        <v>5171</v>
      </c>
      <c r="AG190" s="280">
        <f t="shared" si="42"/>
        <v>46539</v>
      </c>
      <c r="AH190" s="53">
        <f t="shared" si="43"/>
        <v>5166</v>
      </c>
      <c r="AI190" s="53">
        <f t="shared" si="44"/>
        <v>0</v>
      </c>
    </row>
    <row r="191" spans="1:35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3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3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>IF(Notes!$B$2="June",'AEA Funding and Payments'!$X191,ROUND(N191/10,0))</f>
        <v>18067</v>
      </c>
      <c r="S191" s="221">
        <f>IF(Notes!$B$2="June",'AEA Funding and Payments'!$AC191,ROUND(O191/10,0))</f>
        <v>6762</v>
      </c>
      <c r="T191" s="221">
        <f t="shared" si="32"/>
        <v>24829</v>
      </c>
      <c r="U191" s="237"/>
      <c r="V191" s="279">
        <f t="shared" si="33"/>
        <v>18063</v>
      </c>
      <c r="W191" s="280">
        <f t="shared" si="34"/>
        <v>162567</v>
      </c>
      <c r="X191" s="53">
        <f t="shared" si="35"/>
        <v>18067</v>
      </c>
      <c r="Y191" s="53">
        <f t="shared" si="36"/>
        <v>0</v>
      </c>
      <c r="AA191" s="279">
        <f t="shared" si="37"/>
        <v>6767</v>
      </c>
      <c r="AB191" s="280">
        <f t="shared" si="38"/>
        <v>60903</v>
      </c>
      <c r="AC191" s="53">
        <f t="shared" si="39"/>
        <v>6762</v>
      </c>
      <c r="AD191" s="53">
        <f t="shared" si="40"/>
        <v>0</v>
      </c>
      <c r="AF191" s="279">
        <f t="shared" si="41"/>
        <v>2759</v>
      </c>
      <c r="AG191" s="280">
        <f t="shared" si="42"/>
        <v>24831</v>
      </c>
      <c r="AH191" s="53">
        <f t="shared" si="43"/>
        <v>2758</v>
      </c>
      <c r="AI191" s="53">
        <f t="shared" si="44"/>
        <v>0</v>
      </c>
    </row>
    <row r="192" spans="1:35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3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3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>IF(Notes!$B$2="June",'AEA Funding and Payments'!$X192,ROUND(N192/10,0))</f>
        <v>6013</v>
      </c>
      <c r="S192" s="221">
        <f>IF(Notes!$B$2="June",'AEA Funding and Payments'!$AC192,ROUND(O192/10,0))</f>
        <v>2788</v>
      </c>
      <c r="T192" s="221">
        <f t="shared" si="32"/>
        <v>8801</v>
      </c>
      <c r="U192" s="237"/>
      <c r="V192" s="279">
        <f t="shared" si="33"/>
        <v>6017</v>
      </c>
      <c r="W192" s="280">
        <f t="shared" si="34"/>
        <v>54153</v>
      </c>
      <c r="X192" s="53">
        <f t="shared" si="35"/>
        <v>6013</v>
      </c>
      <c r="Y192" s="53">
        <f t="shared" si="36"/>
        <v>0</v>
      </c>
      <c r="AA192" s="279">
        <f t="shared" si="37"/>
        <v>2789</v>
      </c>
      <c r="AB192" s="280">
        <f t="shared" si="38"/>
        <v>25101</v>
      </c>
      <c r="AC192" s="53">
        <f t="shared" si="39"/>
        <v>2788</v>
      </c>
      <c r="AD192" s="53">
        <f t="shared" si="40"/>
        <v>0</v>
      </c>
      <c r="AF192" s="279">
        <f t="shared" si="41"/>
        <v>978</v>
      </c>
      <c r="AG192" s="280">
        <f t="shared" si="42"/>
        <v>8802</v>
      </c>
      <c r="AH192" s="53">
        <f t="shared" si="43"/>
        <v>982</v>
      </c>
      <c r="AI192" s="53">
        <f t="shared" si="44"/>
        <v>0</v>
      </c>
    </row>
    <row r="193" spans="1:35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3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3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>IF(Notes!$B$2="June",'AEA Funding and Payments'!$X193,ROUND(N193/10,0))</f>
        <v>10695</v>
      </c>
      <c r="S193" s="221">
        <f>IF(Notes!$B$2="June",'AEA Funding and Payments'!$AC193,ROUND(O193/10,0))</f>
        <v>4108</v>
      </c>
      <c r="T193" s="221">
        <f t="shared" si="32"/>
        <v>14803</v>
      </c>
      <c r="U193" s="237"/>
      <c r="V193" s="279">
        <f t="shared" si="33"/>
        <v>10697</v>
      </c>
      <c r="W193" s="280">
        <f t="shared" si="34"/>
        <v>96273</v>
      </c>
      <c r="X193" s="53">
        <f t="shared" si="35"/>
        <v>10695</v>
      </c>
      <c r="Y193" s="53">
        <f t="shared" si="36"/>
        <v>0</v>
      </c>
      <c r="AA193" s="279">
        <f t="shared" si="37"/>
        <v>4106</v>
      </c>
      <c r="AB193" s="280">
        <f t="shared" si="38"/>
        <v>36954</v>
      </c>
      <c r="AC193" s="53">
        <f t="shared" si="39"/>
        <v>4108</v>
      </c>
      <c r="AD193" s="53">
        <f t="shared" si="40"/>
        <v>0</v>
      </c>
      <c r="AF193" s="279">
        <f t="shared" si="41"/>
        <v>1645</v>
      </c>
      <c r="AG193" s="280">
        <f t="shared" si="42"/>
        <v>14805</v>
      </c>
      <c r="AH193" s="53">
        <f t="shared" si="43"/>
        <v>1643</v>
      </c>
      <c r="AI193" s="53">
        <f t="shared" si="44"/>
        <v>0</v>
      </c>
    </row>
    <row r="194" spans="1:35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3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3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>IF(Notes!$B$2="June",'AEA Funding and Payments'!$X194,ROUND(N194/10,0))</f>
        <v>24246</v>
      </c>
      <c r="S194" s="221">
        <f>IF(Notes!$B$2="June",'AEA Funding and Payments'!$AC194,ROUND(O194/10,0))</f>
        <v>10165</v>
      </c>
      <c r="T194" s="221">
        <f t="shared" si="32"/>
        <v>34411</v>
      </c>
      <c r="U194" s="237"/>
      <c r="V194" s="279">
        <f t="shared" si="33"/>
        <v>24243</v>
      </c>
      <c r="W194" s="280">
        <f t="shared" si="34"/>
        <v>218187</v>
      </c>
      <c r="X194" s="53">
        <f t="shared" si="35"/>
        <v>24246</v>
      </c>
      <c r="Y194" s="53">
        <f t="shared" si="36"/>
        <v>0</v>
      </c>
      <c r="AA194" s="279">
        <f t="shared" si="37"/>
        <v>10165</v>
      </c>
      <c r="AB194" s="280">
        <f t="shared" si="38"/>
        <v>91485</v>
      </c>
      <c r="AC194" s="53">
        <f t="shared" si="39"/>
        <v>10165</v>
      </c>
      <c r="AD194" s="53">
        <f t="shared" si="40"/>
        <v>0</v>
      </c>
      <c r="AF194" s="279">
        <f t="shared" si="41"/>
        <v>3823</v>
      </c>
      <c r="AG194" s="280">
        <f t="shared" si="42"/>
        <v>34407</v>
      </c>
      <c r="AH194" s="53">
        <f t="shared" si="43"/>
        <v>3824</v>
      </c>
      <c r="AI194" s="53">
        <f t="shared" si="44"/>
        <v>0</v>
      </c>
    </row>
    <row r="195" spans="1:35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3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3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>IF(Notes!$B$2="June",'AEA Funding and Payments'!$X195,ROUND(N195/10,0))</f>
        <v>16067</v>
      </c>
      <c r="S195" s="221">
        <f>IF(Notes!$B$2="June",'AEA Funding and Payments'!$AC195,ROUND(O195/10,0))</f>
        <v>6255</v>
      </c>
      <c r="T195" s="221">
        <f t="shared" si="32"/>
        <v>22322</v>
      </c>
      <c r="U195" s="237"/>
      <c r="V195" s="279">
        <f t="shared" si="33"/>
        <v>16068</v>
      </c>
      <c r="W195" s="280">
        <f t="shared" si="34"/>
        <v>144612</v>
      </c>
      <c r="X195" s="53">
        <f t="shared" si="35"/>
        <v>16067</v>
      </c>
      <c r="Y195" s="53">
        <f t="shared" si="36"/>
        <v>0</v>
      </c>
      <c r="AA195" s="279">
        <f t="shared" si="37"/>
        <v>6253</v>
      </c>
      <c r="AB195" s="280">
        <f t="shared" si="38"/>
        <v>56277</v>
      </c>
      <c r="AC195" s="53">
        <f t="shared" si="39"/>
        <v>6255</v>
      </c>
      <c r="AD195" s="53">
        <f t="shared" si="40"/>
        <v>0</v>
      </c>
      <c r="AF195" s="279">
        <f t="shared" si="41"/>
        <v>2480</v>
      </c>
      <c r="AG195" s="280">
        <f t="shared" si="42"/>
        <v>22320</v>
      </c>
      <c r="AH195" s="53">
        <f t="shared" si="43"/>
        <v>2481</v>
      </c>
      <c r="AI195" s="53">
        <f t="shared" si="44"/>
        <v>0</v>
      </c>
    </row>
    <row r="196" spans="1:35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3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3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>IF(Notes!$B$2="June",'AEA Funding and Payments'!$X196,ROUND(N196/10,0))</f>
        <v>16688</v>
      </c>
      <c r="S196" s="221">
        <f>IF(Notes!$B$2="June",'AEA Funding and Payments'!$AC196,ROUND(O196/10,0))</f>
        <v>7878</v>
      </c>
      <c r="T196" s="221">
        <f t="shared" si="32"/>
        <v>24566</v>
      </c>
      <c r="U196" s="237"/>
      <c r="V196" s="279">
        <f t="shared" si="33"/>
        <v>16692</v>
      </c>
      <c r="W196" s="280">
        <f t="shared" si="34"/>
        <v>150228</v>
      </c>
      <c r="X196" s="53">
        <f t="shared" si="35"/>
        <v>16688</v>
      </c>
      <c r="Y196" s="53">
        <f t="shared" si="36"/>
        <v>0</v>
      </c>
      <c r="AA196" s="279">
        <f t="shared" si="37"/>
        <v>7876</v>
      </c>
      <c r="AB196" s="280">
        <f t="shared" si="38"/>
        <v>70884</v>
      </c>
      <c r="AC196" s="53">
        <f t="shared" si="39"/>
        <v>7878</v>
      </c>
      <c r="AD196" s="53">
        <f t="shared" si="40"/>
        <v>0</v>
      </c>
      <c r="AF196" s="279">
        <f t="shared" si="41"/>
        <v>2730</v>
      </c>
      <c r="AG196" s="280">
        <f t="shared" si="42"/>
        <v>24570</v>
      </c>
      <c r="AH196" s="53">
        <f t="shared" si="43"/>
        <v>2728</v>
      </c>
      <c r="AI196" s="53">
        <f t="shared" si="44"/>
        <v>0</v>
      </c>
    </row>
    <row r="197" spans="1:35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3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3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>IF(Notes!$B$2="June",'AEA Funding and Payments'!$X197,ROUND(N197/10,0))</f>
        <v>9359</v>
      </c>
      <c r="S197" s="221">
        <f>IF(Notes!$B$2="June",'AEA Funding and Payments'!$AC197,ROUND(O197/10,0))</f>
        <v>4298</v>
      </c>
      <c r="T197" s="221">
        <f t="shared" si="32"/>
        <v>13657</v>
      </c>
      <c r="U197" s="237"/>
      <c r="V197" s="279">
        <f t="shared" si="33"/>
        <v>9359</v>
      </c>
      <c r="W197" s="280">
        <f t="shared" si="34"/>
        <v>84231</v>
      </c>
      <c r="X197" s="53">
        <f t="shared" si="35"/>
        <v>9359</v>
      </c>
      <c r="Y197" s="53">
        <f t="shared" si="36"/>
        <v>0</v>
      </c>
      <c r="AA197" s="279">
        <f t="shared" si="37"/>
        <v>4297</v>
      </c>
      <c r="AB197" s="280">
        <f t="shared" si="38"/>
        <v>38673</v>
      </c>
      <c r="AC197" s="53">
        <f t="shared" si="39"/>
        <v>4298</v>
      </c>
      <c r="AD197" s="53">
        <f t="shared" si="40"/>
        <v>0</v>
      </c>
      <c r="AF197" s="279">
        <f t="shared" si="41"/>
        <v>1517</v>
      </c>
      <c r="AG197" s="280">
        <f t="shared" si="42"/>
        <v>13653</v>
      </c>
      <c r="AH197" s="53">
        <f t="shared" si="43"/>
        <v>1520</v>
      </c>
      <c r="AI197" s="53">
        <f t="shared" si="44"/>
        <v>0</v>
      </c>
    </row>
    <row r="198" spans="1:35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3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3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>IF(Notes!$B$2="June",'AEA Funding and Payments'!$X198,ROUND(N198/10,0))</f>
        <v>20587</v>
      </c>
      <c r="S198" s="221">
        <f>IF(Notes!$B$2="June",'AEA Funding and Payments'!$AC198,ROUND(O198/10,0))</f>
        <v>7904</v>
      </c>
      <c r="T198" s="221">
        <f t="shared" si="32"/>
        <v>28491</v>
      </c>
      <c r="U198" s="237"/>
      <c r="V198" s="279">
        <f t="shared" si="33"/>
        <v>20583</v>
      </c>
      <c r="W198" s="280">
        <f t="shared" si="34"/>
        <v>185247</v>
      </c>
      <c r="X198" s="53">
        <f t="shared" si="35"/>
        <v>20587</v>
      </c>
      <c r="Y198" s="53">
        <f t="shared" si="36"/>
        <v>0</v>
      </c>
      <c r="AA198" s="279">
        <f t="shared" si="37"/>
        <v>7901</v>
      </c>
      <c r="AB198" s="280">
        <f t="shared" si="38"/>
        <v>71109</v>
      </c>
      <c r="AC198" s="53">
        <f t="shared" si="39"/>
        <v>7904</v>
      </c>
      <c r="AD198" s="53">
        <f t="shared" si="40"/>
        <v>0</v>
      </c>
      <c r="AF198" s="279">
        <f t="shared" si="41"/>
        <v>3165</v>
      </c>
      <c r="AG198" s="280">
        <f t="shared" si="42"/>
        <v>28485</v>
      </c>
      <c r="AH198" s="53">
        <f t="shared" si="43"/>
        <v>3165</v>
      </c>
      <c r="AI198" s="53">
        <f t="shared" si="44"/>
        <v>0</v>
      </c>
    </row>
    <row r="199" spans="1:35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3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3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>IF(Notes!$B$2="June",'AEA Funding and Payments'!$X199,ROUND(N199/10,0))</f>
        <v>6539</v>
      </c>
      <c r="S199" s="221">
        <f>IF(Notes!$B$2="June",'AEA Funding and Payments'!$AC199,ROUND(O199/10,0))</f>
        <v>3163</v>
      </c>
      <c r="T199" s="221">
        <f t="shared" si="32"/>
        <v>9702</v>
      </c>
      <c r="U199" s="237"/>
      <c r="V199" s="279">
        <f t="shared" si="33"/>
        <v>6536</v>
      </c>
      <c r="W199" s="280">
        <f t="shared" si="34"/>
        <v>58824</v>
      </c>
      <c r="X199" s="53">
        <f t="shared" si="35"/>
        <v>6539</v>
      </c>
      <c r="Y199" s="53">
        <f t="shared" si="36"/>
        <v>0</v>
      </c>
      <c r="AA199" s="279">
        <f t="shared" si="37"/>
        <v>3167</v>
      </c>
      <c r="AB199" s="280">
        <f t="shared" si="38"/>
        <v>28503</v>
      </c>
      <c r="AC199" s="53">
        <f t="shared" si="39"/>
        <v>3163</v>
      </c>
      <c r="AD199" s="53">
        <f t="shared" si="40"/>
        <v>0</v>
      </c>
      <c r="AF199" s="279">
        <f t="shared" si="41"/>
        <v>1078</v>
      </c>
      <c r="AG199" s="280">
        <f t="shared" si="42"/>
        <v>9702</v>
      </c>
      <c r="AH199" s="53">
        <f t="shared" si="43"/>
        <v>1079</v>
      </c>
      <c r="AI199" s="53">
        <f t="shared" si="44"/>
        <v>0</v>
      </c>
    </row>
    <row r="200" spans="1:35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3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3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>IF(Notes!$B$2="June",'AEA Funding and Payments'!$X200,ROUND(N200/10,0))</f>
        <v>4584</v>
      </c>
      <c r="S200" s="221">
        <f>IF(Notes!$B$2="June",'AEA Funding and Payments'!$AC200,ROUND(O200/10,0))</f>
        <v>2457</v>
      </c>
      <c r="T200" s="221">
        <f t="shared" si="32"/>
        <v>7041</v>
      </c>
      <c r="U200" s="237"/>
      <c r="V200" s="279">
        <f t="shared" si="33"/>
        <v>4583</v>
      </c>
      <c r="W200" s="280">
        <f t="shared" si="34"/>
        <v>41247</v>
      </c>
      <c r="X200" s="53">
        <f t="shared" si="35"/>
        <v>4584</v>
      </c>
      <c r="Y200" s="53">
        <f t="shared" si="36"/>
        <v>0</v>
      </c>
      <c r="AA200" s="279">
        <f t="shared" si="37"/>
        <v>2459</v>
      </c>
      <c r="AB200" s="280">
        <f t="shared" si="38"/>
        <v>22131</v>
      </c>
      <c r="AC200" s="53">
        <f t="shared" si="39"/>
        <v>2457</v>
      </c>
      <c r="AD200" s="53">
        <f t="shared" si="40"/>
        <v>0</v>
      </c>
      <c r="AF200" s="279">
        <f t="shared" si="41"/>
        <v>782</v>
      </c>
      <c r="AG200" s="280">
        <f t="shared" si="42"/>
        <v>7038</v>
      </c>
      <c r="AH200" s="53">
        <f t="shared" si="43"/>
        <v>786</v>
      </c>
      <c r="AI200" s="53">
        <f t="shared" si="44"/>
        <v>0</v>
      </c>
    </row>
    <row r="201" spans="1:35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4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4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>IF(Notes!$B$2="June",'AEA Funding and Payments'!$X201,ROUND(N201/10,0))</f>
        <v>4134</v>
      </c>
      <c r="S201" s="221">
        <f>IF(Notes!$B$2="June",'AEA Funding and Payments'!$AC201,ROUND(O201/10,0))</f>
        <v>1554</v>
      </c>
      <c r="T201" s="221">
        <f t="shared" ref="T201:T264" si="47">SUM(R201:S201)</f>
        <v>5688</v>
      </c>
      <c r="U201" s="237"/>
      <c r="V201" s="279">
        <f t="shared" ref="V201:V264" si="48">ROUND(N201/10,0)</f>
        <v>4135</v>
      </c>
      <c r="W201" s="280">
        <f t="shared" ref="W201:W264" si="49">V201*9</f>
        <v>37215</v>
      </c>
      <c r="X201" s="53">
        <f t="shared" ref="X201:X264" si="50">N201-W201</f>
        <v>4134</v>
      </c>
      <c r="Y201" s="53">
        <f t="shared" ref="Y201:Y264" si="51">W201+X201-N201</f>
        <v>0</v>
      </c>
      <c r="AA201" s="279">
        <f t="shared" ref="AA201:AA264" si="52">ROUND(O201/10,0)</f>
        <v>1554</v>
      </c>
      <c r="AB201" s="280">
        <f t="shared" ref="AB201:AB264" si="53">AA201*9</f>
        <v>13986</v>
      </c>
      <c r="AC201" s="53">
        <f t="shared" ref="AC201:AC264" si="54">O201-AB201</f>
        <v>1554</v>
      </c>
      <c r="AD201" s="53">
        <f t="shared" ref="AD201:AD264" si="55">AB201+AC201-O201</f>
        <v>0</v>
      </c>
      <c r="AF201" s="279">
        <f t="shared" ref="AF201:AF264" si="56">ROUND(L201/10,0)</f>
        <v>632</v>
      </c>
      <c r="AG201" s="280">
        <f t="shared" ref="AG201:AG264" si="57">AF201*9</f>
        <v>5688</v>
      </c>
      <c r="AH201" s="53">
        <f t="shared" ref="AH201:AH264" si="58">L201-AG201</f>
        <v>633</v>
      </c>
      <c r="AI201" s="53">
        <f t="shared" ref="AI201:AI264" si="59">AG201+AH201-L201</f>
        <v>0</v>
      </c>
    </row>
    <row r="202" spans="1:35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4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4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>IF(Notes!$B$2="June",'AEA Funding and Payments'!$X202,ROUND(N202/10,0))</f>
        <v>4215</v>
      </c>
      <c r="S202" s="221">
        <f>IF(Notes!$B$2="June",'AEA Funding and Payments'!$AC202,ROUND(O202/10,0))</f>
        <v>1576</v>
      </c>
      <c r="T202" s="221">
        <f t="shared" si="47"/>
        <v>5791</v>
      </c>
      <c r="U202" s="237"/>
      <c r="V202" s="279">
        <f t="shared" si="48"/>
        <v>4217</v>
      </c>
      <c r="W202" s="280">
        <f t="shared" si="49"/>
        <v>37953</v>
      </c>
      <c r="X202" s="53">
        <f t="shared" si="50"/>
        <v>4215</v>
      </c>
      <c r="Y202" s="53">
        <f t="shared" si="51"/>
        <v>0</v>
      </c>
      <c r="AA202" s="279">
        <f t="shared" si="52"/>
        <v>1580</v>
      </c>
      <c r="AB202" s="280">
        <f t="shared" si="53"/>
        <v>14220</v>
      </c>
      <c r="AC202" s="53">
        <f t="shared" si="54"/>
        <v>1576</v>
      </c>
      <c r="AD202" s="53">
        <f t="shared" si="55"/>
        <v>0</v>
      </c>
      <c r="AF202" s="279">
        <f t="shared" si="56"/>
        <v>644</v>
      </c>
      <c r="AG202" s="280">
        <f t="shared" si="57"/>
        <v>5796</v>
      </c>
      <c r="AH202" s="53">
        <f t="shared" si="58"/>
        <v>645</v>
      </c>
      <c r="AI202" s="53">
        <f t="shared" si="59"/>
        <v>0</v>
      </c>
    </row>
    <row r="203" spans="1:35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4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4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>IF(Notes!$B$2="June",'AEA Funding and Payments'!$X203,ROUND(N203/10,0))</f>
        <v>12860</v>
      </c>
      <c r="S203" s="221">
        <f>IF(Notes!$B$2="June",'AEA Funding and Payments'!$AC203,ROUND(O203/10,0))</f>
        <v>5000</v>
      </c>
      <c r="T203" s="221">
        <f t="shared" si="47"/>
        <v>17860</v>
      </c>
      <c r="U203" s="237"/>
      <c r="V203" s="279">
        <f t="shared" si="48"/>
        <v>12859</v>
      </c>
      <c r="W203" s="280">
        <f t="shared" si="49"/>
        <v>115731</v>
      </c>
      <c r="X203" s="53">
        <f t="shared" si="50"/>
        <v>12860</v>
      </c>
      <c r="Y203" s="53">
        <f t="shared" si="51"/>
        <v>0</v>
      </c>
      <c r="AA203" s="279">
        <f t="shared" si="52"/>
        <v>5005</v>
      </c>
      <c r="AB203" s="280">
        <f t="shared" si="53"/>
        <v>45045</v>
      </c>
      <c r="AC203" s="53">
        <f t="shared" si="54"/>
        <v>5000</v>
      </c>
      <c r="AD203" s="53">
        <f t="shared" si="55"/>
        <v>0</v>
      </c>
      <c r="AF203" s="279">
        <f t="shared" si="56"/>
        <v>1985</v>
      </c>
      <c r="AG203" s="280">
        <f t="shared" si="57"/>
        <v>17865</v>
      </c>
      <c r="AH203" s="53">
        <f t="shared" si="58"/>
        <v>1984</v>
      </c>
      <c r="AI203" s="53">
        <f t="shared" si="59"/>
        <v>0</v>
      </c>
    </row>
    <row r="204" spans="1:35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4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4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>IF(Notes!$B$2="June",'AEA Funding and Payments'!$X204,ROUND(N204/10,0))</f>
        <v>37540</v>
      </c>
      <c r="S204" s="221">
        <f>IF(Notes!$B$2="June",'AEA Funding and Payments'!$AC204,ROUND(O204/10,0))</f>
        <v>14061</v>
      </c>
      <c r="T204" s="221">
        <f t="shared" si="47"/>
        <v>51601</v>
      </c>
      <c r="U204" s="237"/>
      <c r="V204" s="279">
        <f t="shared" si="48"/>
        <v>37541</v>
      </c>
      <c r="W204" s="280">
        <f t="shared" si="49"/>
        <v>337869</v>
      </c>
      <c r="X204" s="53">
        <f t="shared" si="50"/>
        <v>37540</v>
      </c>
      <c r="Y204" s="53">
        <f t="shared" si="51"/>
        <v>0</v>
      </c>
      <c r="AA204" s="279">
        <f t="shared" si="52"/>
        <v>14063</v>
      </c>
      <c r="AB204" s="280">
        <f t="shared" si="53"/>
        <v>126567</v>
      </c>
      <c r="AC204" s="53">
        <f t="shared" si="54"/>
        <v>14061</v>
      </c>
      <c r="AD204" s="53">
        <f t="shared" si="55"/>
        <v>0</v>
      </c>
      <c r="AF204" s="279">
        <f t="shared" si="56"/>
        <v>5734</v>
      </c>
      <c r="AG204" s="280">
        <f t="shared" si="57"/>
        <v>51606</v>
      </c>
      <c r="AH204" s="53">
        <f t="shared" si="58"/>
        <v>5732</v>
      </c>
      <c r="AI204" s="53">
        <f t="shared" si="59"/>
        <v>0</v>
      </c>
    </row>
    <row r="205" spans="1:35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4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4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>IF(Notes!$B$2="June",'AEA Funding and Payments'!$X205,ROUND(N205/10,0))</f>
        <v>21948</v>
      </c>
      <c r="S205" s="221">
        <f>IF(Notes!$B$2="June",'AEA Funding and Payments'!$AC205,ROUND(O205/10,0))</f>
        <v>8428</v>
      </c>
      <c r="T205" s="221">
        <f t="shared" si="47"/>
        <v>30376</v>
      </c>
      <c r="U205" s="237"/>
      <c r="V205" s="279">
        <f t="shared" si="48"/>
        <v>21951</v>
      </c>
      <c r="W205" s="280">
        <f t="shared" si="49"/>
        <v>197559</v>
      </c>
      <c r="X205" s="53">
        <f t="shared" si="50"/>
        <v>21948</v>
      </c>
      <c r="Y205" s="53">
        <f t="shared" si="51"/>
        <v>0</v>
      </c>
      <c r="AA205" s="279">
        <f t="shared" si="52"/>
        <v>8426</v>
      </c>
      <c r="AB205" s="280">
        <f t="shared" si="53"/>
        <v>75834</v>
      </c>
      <c r="AC205" s="53">
        <f t="shared" si="54"/>
        <v>8428</v>
      </c>
      <c r="AD205" s="53">
        <f t="shared" si="55"/>
        <v>0</v>
      </c>
      <c r="AF205" s="279">
        <f t="shared" si="56"/>
        <v>3375</v>
      </c>
      <c r="AG205" s="280">
        <f t="shared" si="57"/>
        <v>30375</v>
      </c>
      <c r="AH205" s="53">
        <f t="shared" si="58"/>
        <v>3377</v>
      </c>
      <c r="AI205" s="53">
        <f t="shared" si="59"/>
        <v>0</v>
      </c>
    </row>
    <row r="206" spans="1:35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4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4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>IF(Notes!$B$2="June",'AEA Funding and Payments'!$X206,ROUND(N206/10,0))</f>
        <v>4760</v>
      </c>
      <c r="S206" s="221">
        <f>IF(Notes!$B$2="June",'AEA Funding and Payments'!$AC206,ROUND(O206/10,0))</f>
        <v>1849</v>
      </c>
      <c r="T206" s="221">
        <f t="shared" si="47"/>
        <v>6609</v>
      </c>
      <c r="U206" s="237"/>
      <c r="V206" s="279">
        <f t="shared" si="48"/>
        <v>4763</v>
      </c>
      <c r="W206" s="280">
        <f t="shared" si="49"/>
        <v>42867</v>
      </c>
      <c r="X206" s="53">
        <f t="shared" si="50"/>
        <v>4760</v>
      </c>
      <c r="Y206" s="53">
        <f t="shared" si="51"/>
        <v>0</v>
      </c>
      <c r="AA206" s="279">
        <f t="shared" si="52"/>
        <v>1854</v>
      </c>
      <c r="AB206" s="280">
        <f t="shared" si="53"/>
        <v>16686</v>
      </c>
      <c r="AC206" s="53">
        <f t="shared" si="54"/>
        <v>1849</v>
      </c>
      <c r="AD206" s="53">
        <f t="shared" si="55"/>
        <v>0</v>
      </c>
      <c r="AF206" s="279">
        <f t="shared" si="56"/>
        <v>735</v>
      </c>
      <c r="AG206" s="280">
        <f t="shared" si="57"/>
        <v>6615</v>
      </c>
      <c r="AH206" s="53">
        <f t="shared" si="58"/>
        <v>736</v>
      </c>
      <c r="AI206" s="53">
        <f t="shared" si="59"/>
        <v>0</v>
      </c>
    </row>
    <row r="207" spans="1:35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4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4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>IF(Notes!$B$2="June",'AEA Funding and Payments'!$X207,ROUND(N207/10,0))</f>
        <v>94464</v>
      </c>
      <c r="S207" s="221">
        <f>IF(Notes!$B$2="June",'AEA Funding and Payments'!$AC207,ROUND(O207/10,0))</f>
        <v>37268</v>
      </c>
      <c r="T207" s="221">
        <f t="shared" si="47"/>
        <v>131732</v>
      </c>
      <c r="U207" s="237"/>
      <c r="V207" s="279">
        <f t="shared" si="48"/>
        <v>94463</v>
      </c>
      <c r="W207" s="280">
        <f t="shared" si="49"/>
        <v>850167</v>
      </c>
      <c r="X207" s="53">
        <f t="shared" si="50"/>
        <v>94464</v>
      </c>
      <c r="Y207" s="53">
        <f t="shared" si="51"/>
        <v>0</v>
      </c>
      <c r="AA207" s="279">
        <f t="shared" si="52"/>
        <v>37264</v>
      </c>
      <c r="AB207" s="280">
        <f t="shared" si="53"/>
        <v>335376</v>
      </c>
      <c r="AC207" s="53">
        <f t="shared" si="54"/>
        <v>37268</v>
      </c>
      <c r="AD207" s="53">
        <f t="shared" si="55"/>
        <v>0</v>
      </c>
      <c r="AF207" s="279">
        <f t="shared" si="56"/>
        <v>14636</v>
      </c>
      <c r="AG207" s="280">
        <f t="shared" si="57"/>
        <v>131724</v>
      </c>
      <c r="AH207" s="53">
        <f t="shared" si="58"/>
        <v>14640</v>
      </c>
      <c r="AI207" s="53">
        <f t="shared" si="59"/>
        <v>0</v>
      </c>
    </row>
    <row r="208" spans="1:35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4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4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>IF(Notes!$B$2="June",'AEA Funding and Payments'!$X208,ROUND(N208/10,0))</f>
        <v>11915</v>
      </c>
      <c r="S208" s="221">
        <f>IF(Notes!$B$2="June",'AEA Funding and Payments'!$AC208,ROUND(O208/10,0))</f>
        <v>5322</v>
      </c>
      <c r="T208" s="221">
        <f t="shared" si="47"/>
        <v>17237</v>
      </c>
      <c r="U208" s="237"/>
      <c r="V208" s="279">
        <f t="shared" si="48"/>
        <v>11918</v>
      </c>
      <c r="W208" s="280">
        <f t="shared" si="49"/>
        <v>107262</v>
      </c>
      <c r="X208" s="53">
        <f t="shared" si="50"/>
        <v>11915</v>
      </c>
      <c r="Y208" s="53">
        <f t="shared" si="51"/>
        <v>0</v>
      </c>
      <c r="AA208" s="279">
        <f t="shared" si="52"/>
        <v>5319</v>
      </c>
      <c r="AB208" s="280">
        <f t="shared" si="53"/>
        <v>47871</v>
      </c>
      <c r="AC208" s="53">
        <f t="shared" si="54"/>
        <v>5322</v>
      </c>
      <c r="AD208" s="53">
        <f t="shared" si="55"/>
        <v>0</v>
      </c>
      <c r="AF208" s="279">
        <f t="shared" si="56"/>
        <v>1915</v>
      </c>
      <c r="AG208" s="280">
        <f t="shared" si="57"/>
        <v>17235</v>
      </c>
      <c r="AH208" s="53">
        <f t="shared" si="58"/>
        <v>1917</v>
      </c>
      <c r="AI208" s="53">
        <f t="shared" si="59"/>
        <v>0</v>
      </c>
    </row>
    <row r="209" spans="1:35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4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4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>IF(Notes!$B$2="June",'AEA Funding and Payments'!$X209,ROUND(N209/10,0))</f>
        <v>29759</v>
      </c>
      <c r="S209" s="221">
        <f>IF(Notes!$B$2="June",'AEA Funding and Payments'!$AC209,ROUND(O209/10,0))</f>
        <v>10259</v>
      </c>
      <c r="T209" s="221">
        <f t="shared" si="47"/>
        <v>40018</v>
      </c>
      <c r="U209" s="237"/>
      <c r="V209" s="279">
        <f t="shared" si="48"/>
        <v>29759</v>
      </c>
      <c r="W209" s="280">
        <f t="shared" si="49"/>
        <v>267831</v>
      </c>
      <c r="X209" s="53">
        <f t="shared" si="50"/>
        <v>29759</v>
      </c>
      <c r="Y209" s="53">
        <f t="shared" si="51"/>
        <v>0</v>
      </c>
      <c r="AA209" s="279">
        <f t="shared" si="52"/>
        <v>10261</v>
      </c>
      <c r="AB209" s="280">
        <f t="shared" si="53"/>
        <v>92349</v>
      </c>
      <c r="AC209" s="53">
        <f t="shared" si="54"/>
        <v>10259</v>
      </c>
      <c r="AD209" s="53">
        <f t="shared" si="55"/>
        <v>0</v>
      </c>
      <c r="AF209" s="279">
        <f t="shared" si="56"/>
        <v>4447</v>
      </c>
      <c r="AG209" s="280">
        <f t="shared" si="57"/>
        <v>40023</v>
      </c>
      <c r="AH209" s="53">
        <f t="shared" si="58"/>
        <v>4443</v>
      </c>
      <c r="AI209" s="53">
        <f t="shared" si="59"/>
        <v>0</v>
      </c>
    </row>
    <row r="210" spans="1:35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4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4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>IF(Notes!$B$2="June",'AEA Funding and Payments'!$X210,ROUND(N210/10,0))</f>
        <v>9303</v>
      </c>
      <c r="S210" s="221">
        <f>IF(Notes!$B$2="June",'AEA Funding and Payments'!$AC210,ROUND(O210/10,0))</f>
        <v>4965</v>
      </c>
      <c r="T210" s="221">
        <f t="shared" si="47"/>
        <v>14268</v>
      </c>
      <c r="U210" s="237"/>
      <c r="V210" s="279">
        <f t="shared" si="48"/>
        <v>9300</v>
      </c>
      <c r="W210" s="280">
        <f t="shared" si="49"/>
        <v>83700</v>
      </c>
      <c r="X210" s="53">
        <f t="shared" si="50"/>
        <v>9303</v>
      </c>
      <c r="Y210" s="53">
        <f t="shared" si="51"/>
        <v>0</v>
      </c>
      <c r="AA210" s="279">
        <f t="shared" si="52"/>
        <v>4962</v>
      </c>
      <c r="AB210" s="280">
        <f t="shared" si="53"/>
        <v>44658</v>
      </c>
      <c r="AC210" s="53">
        <f t="shared" si="54"/>
        <v>4965</v>
      </c>
      <c r="AD210" s="53">
        <f t="shared" si="55"/>
        <v>0</v>
      </c>
      <c r="AF210" s="279">
        <f t="shared" si="56"/>
        <v>1585</v>
      </c>
      <c r="AG210" s="280">
        <f t="shared" si="57"/>
        <v>14265</v>
      </c>
      <c r="AH210" s="53">
        <f t="shared" si="58"/>
        <v>1582</v>
      </c>
      <c r="AI210" s="53">
        <f t="shared" si="59"/>
        <v>0</v>
      </c>
    </row>
    <row r="211" spans="1:35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4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4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>IF(Notes!$B$2="June",'AEA Funding and Payments'!$X211,ROUND(N211/10,0))</f>
        <v>20401</v>
      </c>
      <c r="S211" s="221">
        <f>IF(Notes!$B$2="June",'AEA Funding and Payments'!$AC211,ROUND(O211/10,0))</f>
        <v>9558</v>
      </c>
      <c r="T211" s="221">
        <f t="shared" si="47"/>
        <v>29959</v>
      </c>
      <c r="U211" s="237"/>
      <c r="V211" s="279">
        <f t="shared" si="48"/>
        <v>20405</v>
      </c>
      <c r="W211" s="280">
        <f t="shared" si="49"/>
        <v>183645</v>
      </c>
      <c r="X211" s="53">
        <f t="shared" si="50"/>
        <v>20401</v>
      </c>
      <c r="Y211" s="53">
        <f t="shared" si="51"/>
        <v>0</v>
      </c>
      <c r="AA211" s="279">
        <f t="shared" si="52"/>
        <v>9555</v>
      </c>
      <c r="AB211" s="280">
        <f t="shared" si="53"/>
        <v>85995</v>
      </c>
      <c r="AC211" s="53">
        <f t="shared" si="54"/>
        <v>9558</v>
      </c>
      <c r="AD211" s="53">
        <f t="shared" si="55"/>
        <v>0</v>
      </c>
      <c r="AF211" s="279">
        <f t="shared" si="56"/>
        <v>3329</v>
      </c>
      <c r="AG211" s="280">
        <f t="shared" si="57"/>
        <v>29961</v>
      </c>
      <c r="AH211" s="53">
        <f t="shared" si="58"/>
        <v>3328</v>
      </c>
      <c r="AI211" s="53">
        <f t="shared" si="59"/>
        <v>0</v>
      </c>
    </row>
    <row r="212" spans="1:35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4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4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>IF(Notes!$B$2="June",'AEA Funding and Payments'!$X212,ROUND(N212/10,0))</f>
        <v>11533</v>
      </c>
      <c r="S212" s="221">
        <f>IF(Notes!$B$2="June",'AEA Funding and Payments'!$AC212,ROUND(O212/10,0))</f>
        <v>4318</v>
      </c>
      <c r="T212" s="221">
        <f t="shared" si="47"/>
        <v>15851</v>
      </c>
      <c r="U212" s="237"/>
      <c r="V212" s="279">
        <f t="shared" si="48"/>
        <v>11529</v>
      </c>
      <c r="W212" s="280">
        <f t="shared" si="49"/>
        <v>103761</v>
      </c>
      <c r="X212" s="53">
        <f t="shared" si="50"/>
        <v>11533</v>
      </c>
      <c r="Y212" s="53">
        <f t="shared" si="51"/>
        <v>0</v>
      </c>
      <c r="AA212" s="279">
        <f t="shared" si="52"/>
        <v>4319</v>
      </c>
      <c r="AB212" s="280">
        <f t="shared" si="53"/>
        <v>38871</v>
      </c>
      <c r="AC212" s="53">
        <f t="shared" si="54"/>
        <v>4318</v>
      </c>
      <c r="AD212" s="53">
        <f t="shared" si="55"/>
        <v>0</v>
      </c>
      <c r="AF212" s="279">
        <f t="shared" si="56"/>
        <v>1761</v>
      </c>
      <c r="AG212" s="280">
        <f t="shared" si="57"/>
        <v>15849</v>
      </c>
      <c r="AH212" s="53">
        <f t="shared" si="58"/>
        <v>1760</v>
      </c>
      <c r="AI212" s="53">
        <f t="shared" si="59"/>
        <v>0</v>
      </c>
    </row>
    <row r="213" spans="1:35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4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4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>IF(Notes!$B$2="June",'AEA Funding and Payments'!$X213,ROUND(N213/10,0))</f>
        <v>63347</v>
      </c>
      <c r="S213" s="221">
        <f>IF(Notes!$B$2="June",'AEA Funding and Payments'!$AC213,ROUND(O213/10,0))</f>
        <v>22560</v>
      </c>
      <c r="T213" s="221">
        <f t="shared" si="47"/>
        <v>85907</v>
      </c>
      <c r="U213" s="237"/>
      <c r="V213" s="279">
        <f t="shared" si="48"/>
        <v>63343</v>
      </c>
      <c r="W213" s="280">
        <f t="shared" si="49"/>
        <v>570087</v>
      </c>
      <c r="X213" s="53">
        <f t="shared" si="50"/>
        <v>63347</v>
      </c>
      <c r="Y213" s="53">
        <f t="shared" si="51"/>
        <v>0</v>
      </c>
      <c r="AA213" s="279">
        <f t="shared" si="52"/>
        <v>22564</v>
      </c>
      <c r="AB213" s="280">
        <f t="shared" si="53"/>
        <v>203076</v>
      </c>
      <c r="AC213" s="53">
        <f t="shared" si="54"/>
        <v>22560</v>
      </c>
      <c r="AD213" s="53">
        <f t="shared" si="55"/>
        <v>0</v>
      </c>
      <c r="AF213" s="279">
        <f t="shared" si="56"/>
        <v>9545</v>
      </c>
      <c r="AG213" s="280">
        <f t="shared" si="57"/>
        <v>85905</v>
      </c>
      <c r="AH213" s="53">
        <f t="shared" si="58"/>
        <v>9547</v>
      </c>
      <c r="AI213" s="53">
        <f t="shared" si="59"/>
        <v>0</v>
      </c>
    </row>
    <row r="214" spans="1:35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4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4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>IF(Notes!$B$2="June",'AEA Funding and Payments'!$X214,ROUND(N214/10,0))</f>
        <v>16440</v>
      </c>
      <c r="S214" s="221">
        <f>IF(Notes!$B$2="June",'AEA Funding and Payments'!$AC214,ROUND(O214/10,0))</f>
        <v>6755</v>
      </c>
      <c r="T214" s="221">
        <f t="shared" si="47"/>
        <v>23195</v>
      </c>
      <c r="U214" s="237"/>
      <c r="V214" s="279">
        <f t="shared" si="48"/>
        <v>16443</v>
      </c>
      <c r="W214" s="280">
        <f t="shared" si="49"/>
        <v>147987</v>
      </c>
      <c r="X214" s="53">
        <f t="shared" si="50"/>
        <v>16440</v>
      </c>
      <c r="Y214" s="53">
        <f t="shared" si="51"/>
        <v>0</v>
      </c>
      <c r="AA214" s="279">
        <f t="shared" si="52"/>
        <v>6759</v>
      </c>
      <c r="AB214" s="280">
        <f t="shared" si="53"/>
        <v>60831</v>
      </c>
      <c r="AC214" s="53">
        <f t="shared" si="54"/>
        <v>6755</v>
      </c>
      <c r="AD214" s="53">
        <f t="shared" si="55"/>
        <v>0</v>
      </c>
      <c r="AF214" s="279">
        <f t="shared" si="56"/>
        <v>2578</v>
      </c>
      <c r="AG214" s="280">
        <f t="shared" si="57"/>
        <v>23202</v>
      </c>
      <c r="AH214" s="53">
        <f t="shared" si="58"/>
        <v>2577</v>
      </c>
      <c r="AI214" s="53">
        <f t="shared" si="59"/>
        <v>0</v>
      </c>
    </row>
    <row r="215" spans="1:35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4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4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>IF(Notes!$B$2="June",'AEA Funding and Payments'!$X215,ROUND(N215/10,0))</f>
        <v>10346</v>
      </c>
      <c r="S215" s="221">
        <f>IF(Notes!$B$2="June",'AEA Funding and Payments'!$AC215,ROUND(O215/10,0))</f>
        <v>4531</v>
      </c>
      <c r="T215" s="221">
        <f t="shared" si="47"/>
        <v>14877</v>
      </c>
      <c r="U215" s="237"/>
      <c r="V215" s="279">
        <f t="shared" si="48"/>
        <v>10349</v>
      </c>
      <c r="W215" s="280">
        <f t="shared" si="49"/>
        <v>93141</v>
      </c>
      <c r="X215" s="53">
        <f t="shared" si="50"/>
        <v>10346</v>
      </c>
      <c r="Y215" s="53">
        <f t="shared" si="51"/>
        <v>0</v>
      </c>
      <c r="AA215" s="279">
        <f t="shared" si="52"/>
        <v>4534</v>
      </c>
      <c r="AB215" s="280">
        <f t="shared" si="53"/>
        <v>40806</v>
      </c>
      <c r="AC215" s="53">
        <f t="shared" si="54"/>
        <v>4531</v>
      </c>
      <c r="AD215" s="53">
        <f t="shared" si="55"/>
        <v>0</v>
      </c>
      <c r="AF215" s="279">
        <f t="shared" si="56"/>
        <v>1654</v>
      </c>
      <c r="AG215" s="280">
        <f t="shared" si="57"/>
        <v>14886</v>
      </c>
      <c r="AH215" s="53">
        <f t="shared" si="58"/>
        <v>1650</v>
      </c>
      <c r="AI215" s="53">
        <f t="shared" si="59"/>
        <v>0</v>
      </c>
    </row>
    <row r="216" spans="1:35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4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4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>IF(Notes!$B$2="June",'AEA Funding and Payments'!$X216,ROUND(N216/10,0))</f>
        <v>24651</v>
      </c>
      <c r="S216" s="221">
        <f>IF(Notes!$B$2="June",'AEA Funding and Payments'!$AC216,ROUND(O216/10,0))</f>
        <v>11547</v>
      </c>
      <c r="T216" s="221">
        <f t="shared" si="47"/>
        <v>36198</v>
      </c>
      <c r="U216" s="237"/>
      <c r="V216" s="279">
        <f t="shared" si="48"/>
        <v>24650</v>
      </c>
      <c r="W216" s="280">
        <f t="shared" si="49"/>
        <v>221850</v>
      </c>
      <c r="X216" s="53">
        <f t="shared" si="50"/>
        <v>24651</v>
      </c>
      <c r="Y216" s="53">
        <f t="shared" si="51"/>
        <v>0</v>
      </c>
      <c r="AA216" s="279">
        <f t="shared" si="52"/>
        <v>11543</v>
      </c>
      <c r="AB216" s="280">
        <f t="shared" si="53"/>
        <v>103887</v>
      </c>
      <c r="AC216" s="53">
        <f t="shared" si="54"/>
        <v>11547</v>
      </c>
      <c r="AD216" s="53">
        <f t="shared" si="55"/>
        <v>0</v>
      </c>
      <c r="AF216" s="279">
        <f t="shared" si="56"/>
        <v>4022</v>
      </c>
      <c r="AG216" s="280">
        <f t="shared" si="57"/>
        <v>36198</v>
      </c>
      <c r="AH216" s="53">
        <f t="shared" si="58"/>
        <v>4017</v>
      </c>
      <c r="AI216" s="53">
        <f t="shared" si="59"/>
        <v>0</v>
      </c>
    </row>
    <row r="217" spans="1:35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4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4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>IF(Notes!$B$2="June",'AEA Funding and Payments'!$X217,ROUND(N217/10,0))</f>
        <v>9824</v>
      </c>
      <c r="S217" s="221">
        <f>IF(Notes!$B$2="June",'AEA Funding and Payments'!$AC217,ROUND(O217/10,0))</f>
        <v>4174</v>
      </c>
      <c r="T217" s="221">
        <f t="shared" si="47"/>
        <v>13998</v>
      </c>
      <c r="U217" s="237"/>
      <c r="V217" s="279">
        <f t="shared" si="48"/>
        <v>9829</v>
      </c>
      <c r="W217" s="280">
        <f t="shared" si="49"/>
        <v>88461</v>
      </c>
      <c r="X217" s="53">
        <f t="shared" si="50"/>
        <v>9824</v>
      </c>
      <c r="Y217" s="53">
        <f t="shared" si="51"/>
        <v>0</v>
      </c>
      <c r="AA217" s="279">
        <f t="shared" si="52"/>
        <v>4178</v>
      </c>
      <c r="AB217" s="280">
        <f t="shared" si="53"/>
        <v>37602</v>
      </c>
      <c r="AC217" s="53">
        <f t="shared" si="54"/>
        <v>4174</v>
      </c>
      <c r="AD217" s="53">
        <f t="shared" si="55"/>
        <v>0</v>
      </c>
      <c r="AF217" s="279">
        <f t="shared" si="56"/>
        <v>1556</v>
      </c>
      <c r="AG217" s="280">
        <f t="shared" si="57"/>
        <v>14004</v>
      </c>
      <c r="AH217" s="53">
        <f t="shared" si="58"/>
        <v>1558</v>
      </c>
      <c r="AI217" s="53">
        <f t="shared" si="59"/>
        <v>0</v>
      </c>
    </row>
    <row r="218" spans="1:35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4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4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>IF(Notes!$B$2="June",'AEA Funding and Payments'!$X218,ROUND(N218/10,0))</f>
        <v>11334</v>
      </c>
      <c r="S218" s="221">
        <f>IF(Notes!$B$2="June",'AEA Funding and Payments'!$AC218,ROUND(O218/10,0))</f>
        <v>4867</v>
      </c>
      <c r="T218" s="221">
        <f t="shared" si="47"/>
        <v>16201</v>
      </c>
      <c r="U218" s="237"/>
      <c r="V218" s="279">
        <f t="shared" si="48"/>
        <v>11330</v>
      </c>
      <c r="W218" s="280">
        <f t="shared" si="49"/>
        <v>101970</v>
      </c>
      <c r="X218" s="53">
        <f t="shared" si="50"/>
        <v>11334</v>
      </c>
      <c r="Y218" s="53">
        <f t="shared" si="51"/>
        <v>0</v>
      </c>
      <c r="AA218" s="279">
        <f t="shared" si="52"/>
        <v>4868</v>
      </c>
      <c r="AB218" s="280">
        <f t="shared" si="53"/>
        <v>43812</v>
      </c>
      <c r="AC218" s="53">
        <f t="shared" si="54"/>
        <v>4867</v>
      </c>
      <c r="AD218" s="53">
        <f t="shared" si="55"/>
        <v>0</v>
      </c>
      <c r="AF218" s="279">
        <f t="shared" si="56"/>
        <v>1800</v>
      </c>
      <c r="AG218" s="280">
        <f t="shared" si="57"/>
        <v>16200</v>
      </c>
      <c r="AH218" s="53">
        <f t="shared" si="58"/>
        <v>1798</v>
      </c>
      <c r="AI218" s="53">
        <f t="shared" si="59"/>
        <v>0</v>
      </c>
    </row>
    <row r="219" spans="1:35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4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4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>IF(Notes!$B$2="June",'AEA Funding and Payments'!$X219,ROUND(N219/10,0))</f>
        <v>4980</v>
      </c>
      <c r="S219" s="221">
        <f>IF(Notes!$B$2="June",'AEA Funding and Payments'!$AC219,ROUND(O219/10,0))</f>
        <v>3376</v>
      </c>
      <c r="T219" s="221">
        <f t="shared" si="47"/>
        <v>8356</v>
      </c>
      <c r="U219" s="237"/>
      <c r="V219" s="279">
        <f t="shared" si="48"/>
        <v>4984</v>
      </c>
      <c r="W219" s="280">
        <f t="shared" si="49"/>
        <v>44856</v>
      </c>
      <c r="X219" s="53">
        <f t="shared" si="50"/>
        <v>4980</v>
      </c>
      <c r="Y219" s="53">
        <f t="shared" si="51"/>
        <v>0</v>
      </c>
      <c r="AA219" s="279">
        <f t="shared" si="52"/>
        <v>3378</v>
      </c>
      <c r="AB219" s="280">
        <f t="shared" si="53"/>
        <v>30402</v>
      </c>
      <c r="AC219" s="53">
        <f t="shared" si="54"/>
        <v>3376</v>
      </c>
      <c r="AD219" s="53">
        <f t="shared" si="55"/>
        <v>0</v>
      </c>
      <c r="AF219" s="279">
        <f t="shared" si="56"/>
        <v>929</v>
      </c>
      <c r="AG219" s="280">
        <f t="shared" si="57"/>
        <v>8361</v>
      </c>
      <c r="AH219" s="53">
        <f t="shared" si="58"/>
        <v>930</v>
      </c>
      <c r="AI219" s="53">
        <f t="shared" si="59"/>
        <v>0</v>
      </c>
    </row>
    <row r="220" spans="1:35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4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4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>IF(Notes!$B$2="June",'AEA Funding and Payments'!$X220,ROUND(N220/10,0))</f>
        <v>44722</v>
      </c>
      <c r="S220" s="221">
        <f>IF(Notes!$B$2="June",'AEA Funding and Payments'!$AC220,ROUND(O220/10,0))</f>
        <v>15416</v>
      </c>
      <c r="T220" s="221">
        <f t="shared" si="47"/>
        <v>60138</v>
      </c>
      <c r="U220" s="237"/>
      <c r="V220" s="279">
        <f t="shared" si="48"/>
        <v>44718</v>
      </c>
      <c r="W220" s="280">
        <f t="shared" si="49"/>
        <v>402462</v>
      </c>
      <c r="X220" s="53">
        <f t="shared" si="50"/>
        <v>44722</v>
      </c>
      <c r="Y220" s="53">
        <f t="shared" si="51"/>
        <v>0</v>
      </c>
      <c r="AA220" s="279">
        <f t="shared" si="52"/>
        <v>15419</v>
      </c>
      <c r="AB220" s="280">
        <f t="shared" si="53"/>
        <v>138771</v>
      </c>
      <c r="AC220" s="53">
        <f t="shared" si="54"/>
        <v>15416</v>
      </c>
      <c r="AD220" s="53">
        <f t="shared" si="55"/>
        <v>0</v>
      </c>
      <c r="AF220" s="279">
        <f t="shared" si="56"/>
        <v>6682</v>
      </c>
      <c r="AG220" s="280">
        <f t="shared" si="57"/>
        <v>60138</v>
      </c>
      <c r="AH220" s="53">
        <f t="shared" si="58"/>
        <v>6681</v>
      </c>
      <c r="AI220" s="53">
        <f t="shared" si="59"/>
        <v>0</v>
      </c>
    </row>
    <row r="221" spans="1:35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4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4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>IF(Notes!$B$2="June",'AEA Funding and Payments'!$X221,ROUND(N221/10,0))</f>
        <v>61107</v>
      </c>
      <c r="S221" s="221">
        <f>IF(Notes!$B$2="June",'AEA Funding and Payments'!$AC221,ROUND(O221/10,0))</f>
        <v>24154</v>
      </c>
      <c r="T221" s="221">
        <f t="shared" si="47"/>
        <v>85261</v>
      </c>
      <c r="U221" s="237"/>
      <c r="V221" s="279">
        <f t="shared" si="48"/>
        <v>61110</v>
      </c>
      <c r="W221" s="280">
        <f t="shared" si="49"/>
        <v>549990</v>
      </c>
      <c r="X221" s="53">
        <f t="shared" si="50"/>
        <v>61107</v>
      </c>
      <c r="Y221" s="53">
        <f t="shared" si="51"/>
        <v>0</v>
      </c>
      <c r="AA221" s="279">
        <f t="shared" si="52"/>
        <v>24153</v>
      </c>
      <c r="AB221" s="280">
        <f t="shared" si="53"/>
        <v>217377</v>
      </c>
      <c r="AC221" s="53">
        <f t="shared" si="54"/>
        <v>24154</v>
      </c>
      <c r="AD221" s="53">
        <f t="shared" si="55"/>
        <v>0</v>
      </c>
      <c r="AF221" s="279">
        <f t="shared" si="56"/>
        <v>9474</v>
      </c>
      <c r="AG221" s="280">
        <f t="shared" si="57"/>
        <v>85266</v>
      </c>
      <c r="AH221" s="53">
        <f t="shared" si="58"/>
        <v>9470</v>
      </c>
      <c r="AI221" s="53">
        <f t="shared" si="59"/>
        <v>0</v>
      </c>
    </row>
    <row r="222" spans="1:35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4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4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>IF(Notes!$B$2="June",'AEA Funding and Payments'!$X222,ROUND(N222/10,0))</f>
        <v>9510</v>
      </c>
      <c r="S222" s="221">
        <f>IF(Notes!$B$2="June",'AEA Funding and Payments'!$AC222,ROUND(O222/10,0))</f>
        <v>3870</v>
      </c>
      <c r="T222" s="221">
        <f t="shared" si="47"/>
        <v>13380</v>
      </c>
      <c r="U222" s="237"/>
      <c r="V222" s="279">
        <f t="shared" si="48"/>
        <v>9506</v>
      </c>
      <c r="W222" s="280">
        <f t="shared" si="49"/>
        <v>85554</v>
      </c>
      <c r="X222" s="53">
        <f t="shared" si="50"/>
        <v>9510</v>
      </c>
      <c r="Y222" s="53">
        <f t="shared" si="51"/>
        <v>0</v>
      </c>
      <c r="AA222" s="279">
        <f t="shared" si="52"/>
        <v>3875</v>
      </c>
      <c r="AB222" s="280">
        <f t="shared" si="53"/>
        <v>34875</v>
      </c>
      <c r="AC222" s="53">
        <f t="shared" si="54"/>
        <v>3870</v>
      </c>
      <c r="AD222" s="53">
        <f t="shared" si="55"/>
        <v>0</v>
      </c>
      <c r="AF222" s="279">
        <f t="shared" si="56"/>
        <v>1487</v>
      </c>
      <c r="AG222" s="280">
        <f t="shared" si="57"/>
        <v>13383</v>
      </c>
      <c r="AH222" s="53">
        <f t="shared" si="58"/>
        <v>1485</v>
      </c>
      <c r="AI222" s="53">
        <f t="shared" si="59"/>
        <v>0</v>
      </c>
    </row>
    <row r="223" spans="1:35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4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4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>IF(Notes!$B$2="June",'AEA Funding and Payments'!$X223,ROUND(N223/10,0))</f>
        <v>10196</v>
      </c>
      <c r="S223" s="221">
        <f>IF(Notes!$B$2="June",'AEA Funding and Payments'!$AC223,ROUND(O223/10,0))</f>
        <v>4989</v>
      </c>
      <c r="T223" s="221">
        <f t="shared" si="47"/>
        <v>15185</v>
      </c>
      <c r="U223" s="237"/>
      <c r="V223" s="279">
        <f t="shared" si="48"/>
        <v>10196</v>
      </c>
      <c r="W223" s="280">
        <f t="shared" si="49"/>
        <v>91764</v>
      </c>
      <c r="X223" s="53">
        <f t="shared" si="50"/>
        <v>10196</v>
      </c>
      <c r="Y223" s="53">
        <f t="shared" si="51"/>
        <v>0</v>
      </c>
      <c r="AA223" s="279">
        <f t="shared" si="52"/>
        <v>4992</v>
      </c>
      <c r="AB223" s="280">
        <f t="shared" si="53"/>
        <v>44928</v>
      </c>
      <c r="AC223" s="53">
        <f t="shared" si="54"/>
        <v>4989</v>
      </c>
      <c r="AD223" s="53">
        <f t="shared" si="55"/>
        <v>0</v>
      </c>
      <c r="AF223" s="279">
        <f t="shared" si="56"/>
        <v>1688</v>
      </c>
      <c r="AG223" s="280">
        <f t="shared" si="57"/>
        <v>15192</v>
      </c>
      <c r="AH223" s="53">
        <f t="shared" si="58"/>
        <v>1683</v>
      </c>
      <c r="AI223" s="53">
        <f t="shared" si="59"/>
        <v>0</v>
      </c>
    </row>
    <row r="224" spans="1:35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4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4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>IF(Notes!$B$2="June",'AEA Funding and Payments'!$X224,ROUND(N224/10,0))</f>
        <v>72398</v>
      </c>
      <c r="S224" s="221">
        <f>IF(Notes!$B$2="June",'AEA Funding and Payments'!$AC224,ROUND(O224/10,0))</f>
        <v>24959</v>
      </c>
      <c r="T224" s="221">
        <f t="shared" si="47"/>
        <v>97357</v>
      </c>
      <c r="U224" s="237"/>
      <c r="V224" s="279">
        <f t="shared" si="48"/>
        <v>72395</v>
      </c>
      <c r="W224" s="280">
        <f t="shared" si="49"/>
        <v>651555</v>
      </c>
      <c r="X224" s="53">
        <f t="shared" si="50"/>
        <v>72398</v>
      </c>
      <c r="Y224" s="53">
        <f t="shared" si="51"/>
        <v>0</v>
      </c>
      <c r="AA224" s="279">
        <f t="shared" si="52"/>
        <v>24962</v>
      </c>
      <c r="AB224" s="280">
        <f t="shared" si="53"/>
        <v>224658</v>
      </c>
      <c r="AC224" s="53">
        <f t="shared" si="54"/>
        <v>24959</v>
      </c>
      <c r="AD224" s="53">
        <f t="shared" si="55"/>
        <v>0</v>
      </c>
      <c r="AF224" s="279">
        <f t="shared" si="56"/>
        <v>10818</v>
      </c>
      <c r="AG224" s="280">
        <f t="shared" si="57"/>
        <v>97362</v>
      </c>
      <c r="AH224" s="53">
        <f t="shared" si="58"/>
        <v>10813</v>
      </c>
      <c r="AI224" s="53">
        <f t="shared" si="59"/>
        <v>0</v>
      </c>
    </row>
    <row r="225" spans="1:35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4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4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>IF(Notes!$B$2="June",'AEA Funding and Payments'!$X225,ROUND(N225/10,0))</f>
        <v>15864</v>
      </c>
      <c r="S225" s="221">
        <f>IF(Notes!$B$2="June",'AEA Funding and Payments'!$AC225,ROUND(O225/10,0))</f>
        <v>6172</v>
      </c>
      <c r="T225" s="221">
        <f t="shared" si="47"/>
        <v>22036</v>
      </c>
      <c r="U225" s="237"/>
      <c r="V225" s="279">
        <f t="shared" si="48"/>
        <v>15864</v>
      </c>
      <c r="W225" s="280">
        <f t="shared" si="49"/>
        <v>142776</v>
      </c>
      <c r="X225" s="53">
        <f t="shared" si="50"/>
        <v>15864</v>
      </c>
      <c r="Y225" s="53">
        <f t="shared" si="51"/>
        <v>0</v>
      </c>
      <c r="AA225" s="279">
        <f t="shared" si="52"/>
        <v>6174</v>
      </c>
      <c r="AB225" s="280">
        <f t="shared" si="53"/>
        <v>55566</v>
      </c>
      <c r="AC225" s="53">
        <f t="shared" si="54"/>
        <v>6172</v>
      </c>
      <c r="AD225" s="53">
        <f t="shared" si="55"/>
        <v>0</v>
      </c>
      <c r="AF225" s="279">
        <f t="shared" si="56"/>
        <v>2449</v>
      </c>
      <c r="AG225" s="280">
        <f t="shared" si="57"/>
        <v>22041</v>
      </c>
      <c r="AH225" s="53">
        <f t="shared" si="58"/>
        <v>2446</v>
      </c>
      <c r="AI225" s="53">
        <f t="shared" si="59"/>
        <v>0</v>
      </c>
    </row>
    <row r="226" spans="1:35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4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4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>IF(Notes!$B$2="June",'AEA Funding and Payments'!$X226,ROUND(N226/10,0))</f>
        <v>19544</v>
      </c>
      <c r="S226" s="221">
        <f>IF(Notes!$B$2="June",'AEA Funding and Payments'!$AC226,ROUND(O226/10,0))</f>
        <v>8318</v>
      </c>
      <c r="T226" s="221">
        <f t="shared" si="47"/>
        <v>27862</v>
      </c>
      <c r="U226" s="237"/>
      <c r="V226" s="279">
        <f t="shared" si="48"/>
        <v>19547</v>
      </c>
      <c r="W226" s="280">
        <f t="shared" si="49"/>
        <v>175923</v>
      </c>
      <c r="X226" s="53">
        <f t="shared" si="50"/>
        <v>19544</v>
      </c>
      <c r="Y226" s="53">
        <f t="shared" si="51"/>
        <v>0</v>
      </c>
      <c r="AA226" s="279">
        <f t="shared" si="52"/>
        <v>8321</v>
      </c>
      <c r="AB226" s="280">
        <f t="shared" si="53"/>
        <v>74889</v>
      </c>
      <c r="AC226" s="53">
        <f t="shared" si="54"/>
        <v>8318</v>
      </c>
      <c r="AD226" s="53">
        <f t="shared" si="55"/>
        <v>0</v>
      </c>
      <c r="AF226" s="279">
        <f t="shared" si="56"/>
        <v>3096</v>
      </c>
      <c r="AG226" s="280">
        <f t="shared" si="57"/>
        <v>27864</v>
      </c>
      <c r="AH226" s="53">
        <f t="shared" si="58"/>
        <v>3100</v>
      </c>
      <c r="AI226" s="53">
        <f t="shared" si="59"/>
        <v>0</v>
      </c>
    </row>
    <row r="227" spans="1:35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4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4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>IF(Notes!$B$2="June",'AEA Funding and Payments'!$X227,ROUND(N227/10,0))</f>
        <v>28177</v>
      </c>
      <c r="S227" s="221">
        <f>IF(Notes!$B$2="June",'AEA Funding and Payments'!$AC227,ROUND(O227/10,0))</f>
        <v>14675</v>
      </c>
      <c r="T227" s="221">
        <f t="shared" si="47"/>
        <v>42852</v>
      </c>
      <c r="U227" s="237"/>
      <c r="V227" s="279">
        <f t="shared" si="48"/>
        <v>28182</v>
      </c>
      <c r="W227" s="280">
        <f t="shared" si="49"/>
        <v>253638</v>
      </c>
      <c r="X227" s="53">
        <f t="shared" si="50"/>
        <v>28177</v>
      </c>
      <c r="Y227" s="53">
        <f t="shared" si="51"/>
        <v>0</v>
      </c>
      <c r="AA227" s="279">
        <f t="shared" si="52"/>
        <v>14671</v>
      </c>
      <c r="AB227" s="280">
        <f t="shared" si="53"/>
        <v>132039</v>
      </c>
      <c r="AC227" s="53">
        <f t="shared" si="54"/>
        <v>14675</v>
      </c>
      <c r="AD227" s="53">
        <f t="shared" si="55"/>
        <v>0</v>
      </c>
      <c r="AF227" s="279">
        <f t="shared" si="56"/>
        <v>4761</v>
      </c>
      <c r="AG227" s="280">
        <f t="shared" si="57"/>
        <v>42849</v>
      </c>
      <c r="AH227" s="53">
        <f t="shared" si="58"/>
        <v>4765</v>
      </c>
      <c r="AI227" s="53">
        <f t="shared" si="59"/>
        <v>0</v>
      </c>
    </row>
    <row r="228" spans="1:35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4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4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>IF(Notes!$B$2="June",'AEA Funding and Payments'!$X228,ROUND(N228/10,0))</f>
        <v>10888</v>
      </c>
      <c r="S228" s="221">
        <f>IF(Notes!$B$2="June",'AEA Funding and Payments'!$AC228,ROUND(O228/10,0))</f>
        <v>4947</v>
      </c>
      <c r="T228" s="221">
        <f t="shared" si="47"/>
        <v>15835</v>
      </c>
      <c r="U228" s="237"/>
      <c r="V228" s="279">
        <f t="shared" si="48"/>
        <v>10892</v>
      </c>
      <c r="W228" s="280">
        <f t="shared" si="49"/>
        <v>98028</v>
      </c>
      <c r="X228" s="53">
        <f t="shared" si="50"/>
        <v>10888</v>
      </c>
      <c r="Y228" s="53">
        <f t="shared" si="51"/>
        <v>0</v>
      </c>
      <c r="AA228" s="279">
        <f t="shared" si="52"/>
        <v>4951</v>
      </c>
      <c r="AB228" s="280">
        <f t="shared" si="53"/>
        <v>44559</v>
      </c>
      <c r="AC228" s="53">
        <f t="shared" si="54"/>
        <v>4947</v>
      </c>
      <c r="AD228" s="53">
        <f t="shared" si="55"/>
        <v>0</v>
      </c>
      <c r="AF228" s="279">
        <f t="shared" si="56"/>
        <v>1760</v>
      </c>
      <c r="AG228" s="280">
        <f t="shared" si="57"/>
        <v>15840</v>
      </c>
      <c r="AH228" s="53">
        <f t="shared" si="58"/>
        <v>1762</v>
      </c>
      <c r="AI228" s="53">
        <f t="shared" si="59"/>
        <v>0</v>
      </c>
    </row>
    <row r="229" spans="1:35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4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4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>IF(Notes!$B$2="June",'AEA Funding and Payments'!$X229,ROUND(N229/10,0))</f>
        <v>21447</v>
      </c>
      <c r="S229" s="221">
        <f>IF(Notes!$B$2="June",'AEA Funding and Payments'!$AC229,ROUND(O229/10,0))</f>
        <v>9531</v>
      </c>
      <c r="T229" s="221">
        <f t="shared" si="47"/>
        <v>30978</v>
      </c>
      <c r="U229" s="237"/>
      <c r="V229" s="279">
        <f t="shared" si="48"/>
        <v>21449</v>
      </c>
      <c r="W229" s="280">
        <f t="shared" si="49"/>
        <v>193041</v>
      </c>
      <c r="X229" s="53">
        <f t="shared" si="50"/>
        <v>21447</v>
      </c>
      <c r="Y229" s="53">
        <f t="shared" si="51"/>
        <v>0</v>
      </c>
      <c r="AA229" s="279">
        <f t="shared" si="52"/>
        <v>9534</v>
      </c>
      <c r="AB229" s="280">
        <f t="shared" si="53"/>
        <v>85806</v>
      </c>
      <c r="AC229" s="53">
        <f t="shared" si="54"/>
        <v>9531</v>
      </c>
      <c r="AD229" s="53">
        <f t="shared" si="55"/>
        <v>0</v>
      </c>
      <c r="AF229" s="279">
        <f t="shared" si="56"/>
        <v>3443</v>
      </c>
      <c r="AG229" s="280">
        <f t="shared" si="57"/>
        <v>30987</v>
      </c>
      <c r="AH229" s="53">
        <f t="shared" si="58"/>
        <v>3438</v>
      </c>
      <c r="AI229" s="53">
        <f t="shared" si="59"/>
        <v>0</v>
      </c>
    </row>
    <row r="230" spans="1:35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4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4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>IF(Notes!$B$2="June",'AEA Funding and Payments'!$X230,ROUND(N230/10,0))</f>
        <v>4168</v>
      </c>
      <c r="S230" s="221">
        <f>IF(Notes!$B$2="June",'AEA Funding and Payments'!$AC230,ROUND(O230/10,0))</f>
        <v>1781</v>
      </c>
      <c r="T230" s="221">
        <f t="shared" si="47"/>
        <v>5949</v>
      </c>
      <c r="U230" s="237"/>
      <c r="V230" s="279">
        <f t="shared" si="48"/>
        <v>4171</v>
      </c>
      <c r="W230" s="280">
        <f t="shared" si="49"/>
        <v>37539</v>
      </c>
      <c r="X230" s="53">
        <f t="shared" si="50"/>
        <v>4168</v>
      </c>
      <c r="Y230" s="53">
        <f t="shared" si="51"/>
        <v>0</v>
      </c>
      <c r="AA230" s="279">
        <f t="shared" si="52"/>
        <v>1779</v>
      </c>
      <c r="AB230" s="280">
        <f t="shared" si="53"/>
        <v>16011</v>
      </c>
      <c r="AC230" s="53">
        <f t="shared" si="54"/>
        <v>1781</v>
      </c>
      <c r="AD230" s="53">
        <f t="shared" si="55"/>
        <v>0</v>
      </c>
      <c r="AF230" s="279">
        <f t="shared" si="56"/>
        <v>661</v>
      </c>
      <c r="AG230" s="280">
        <f t="shared" si="57"/>
        <v>5949</v>
      </c>
      <c r="AH230" s="53">
        <f t="shared" si="58"/>
        <v>662</v>
      </c>
      <c r="AI230" s="53">
        <f t="shared" si="59"/>
        <v>0</v>
      </c>
    </row>
    <row r="231" spans="1:35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4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4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>IF(Notes!$B$2="June",'AEA Funding and Payments'!$X231,ROUND(N231/10,0))</f>
        <v>2987</v>
      </c>
      <c r="S231" s="221">
        <f>IF(Notes!$B$2="June",'AEA Funding and Payments'!$AC231,ROUND(O231/10,0))</f>
        <v>2678</v>
      </c>
      <c r="T231" s="221">
        <f t="shared" si="47"/>
        <v>5665</v>
      </c>
      <c r="U231" s="237"/>
      <c r="V231" s="279">
        <f t="shared" si="48"/>
        <v>2985</v>
      </c>
      <c r="W231" s="280">
        <f t="shared" si="49"/>
        <v>26865</v>
      </c>
      <c r="X231" s="53">
        <f t="shared" si="50"/>
        <v>2987</v>
      </c>
      <c r="Y231" s="53">
        <f t="shared" si="51"/>
        <v>0</v>
      </c>
      <c r="AA231" s="279">
        <f t="shared" si="52"/>
        <v>2677</v>
      </c>
      <c r="AB231" s="280">
        <f t="shared" si="53"/>
        <v>24093</v>
      </c>
      <c r="AC231" s="53">
        <f t="shared" si="54"/>
        <v>2678</v>
      </c>
      <c r="AD231" s="53">
        <f t="shared" si="55"/>
        <v>0</v>
      </c>
      <c r="AF231" s="279">
        <f t="shared" si="56"/>
        <v>629</v>
      </c>
      <c r="AG231" s="280">
        <f t="shared" si="57"/>
        <v>5661</v>
      </c>
      <c r="AH231" s="53">
        <f t="shared" si="58"/>
        <v>631</v>
      </c>
      <c r="AI231" s="53">
        <f t="shared" si="59"/>
        <v>0</v>
      </c>
    </row>
    <row r="232" spans="1:35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4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4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>IF(Notes!$B$2="June",'AEA Funding and Payments'!$X232,ROUND(N232/10,0))</f>
        <v>17918</v>
      </c>
      <c r="S232" s="221">
        <f>IF(Notes!$B$2="June",'AEA Funding and Payments'!$AC232,ROUND(O232/10,0))</f>
        <v>7538</v>
      </c>
      <c r="T232" s="221">
        <f t="shared" si="47"/>
        <v>25456</v>
      </c>
      <c r="U232" s="237"/>
      <c r="V232" s="279">
        <f t="shared" si="48"/>
        <v>17914</v>
      </c>
      <c r="W232" s="280">
        <f t="shared" si="49"/>
        <v>161226</v>
      </c>
      <c r="X232" s="53">
        <f t="shared" si="50"/>
        <v>17918</v>
      </c>
      <c r="Y232" s="53">
        <f t="shared" si="51"/>
        <v>0</v>
      </c>
      <c r="AA232" s="279">
        <f t="shared" si="52"/>
        <v>7538</v>
      </c>
      <c r="AB232" s="280">
        <f t="shared" si="53"/>
        <v>67842</v>
      </c>
      <c r="AC232" s="53">
        <f t="shared" si="54"/>
        <v>7538</v>
      </c>
      <c r="AD232" s="53">
        <f t="shared" si="55"/>
        <v>0</v>
      </c>
      <c r="AF232" s="279">
        <f t="shared" si="56"/>
        <v>2828</v>
      </c>
      <c r="AG232" s="280">
        <f t="shared" si="57"/>
        <v>25452</v>
      </c>
      <c r="AH232" s="53">
        <f t="shared" si="58"/>
        <v>2829</v>
      </c>
      <c r="AI232" s="53">
        <f t="shared" si="59"/>
        <v>0</v>
      </c>
    </row>
    <row r="233" spans="1:35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4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4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>IF(Notes!$B$2="June",'AEA Funding and Payments'!$X233,ROUND(N233/10,0))</f>
        <v>46087</v>
      </c>
      <c r="S233" s="221">
        <f>IF(Notes!$B$2="June",'AEA Funding and Payments'!$AC233,ROUND(O233/10,0))</f>
        <v>17264</v>
      </c>
      <c r="T233" s="221">
        <f t="shared" si="47"/>
        <v>63351</v>
      </c>
      <c r="U233" s="237"/>
      <c r="V233" s="279">
        <f t="shared" si="48"/>
        <v>46084</v>
      </c>
      <c r="W233" s="280">
        <f t="shared" si="49"/>
        <v>414756</v>
      </c>
      <c r="X233" s="53">
        <f t="shared" si="50"/>
        <v>46087</v>
      </c>
      <c r="Y233" s="53">
        <f t="shared" si="51"/>
        <v>0</v>
      </c>
      <c r="AA233" s="279">
        <f t="shared" si="52"/>
        <v>17263</v>
      </c>
      <c r="AB233" s="280">
        <f t="shared" si="53"/>
        <v>155367</v>
      </c>
      <c r="AC233" s="53">
        <f t="shared" si="54"/>
        <v>17264</v>
      </c>
      <c r="AD233" s="53">
        <f t="shared" si="55"/>
        <v>0</v>
      </c>
      <c r="AF233" s="279">
        <f t="shared" si="56"/>
        <v>7039</v>
      </c>
      <c r="AG233" s="280">
        <f t="shared" si="57"/>
        <v>63351</v>
      </c>
      <c r="AH233" s="53">
        <f t="shared" si="58"/>
        <v>7035</v>
      </c>
      <c r="AI233" s="53">
        <f t="shared" si="59"/>
        <v>0</v>
      </c>
    </row>
    <row r="234" spans="1:35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4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4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>IF(Notes!$B$2="June",'AEA Funding and Payments'!$X234,ROUND(N234/10,0))</f>
        <v>110109</v>
      </c>
      <c r="S234" s="221">
        <f>IF(Notes!$B$2="June",'AEA Funding and Payments'!$AC234,ROUND(O234/10,0))</f>
        <v>41241</v>
      </c>
      <c r="T234" s="221">
        <f t="shared" si="47"/>
        <v>151350</v>
      </c>
      <c r="U234" s="237"/>
      <c r="V234" s="279">
        <f t="shared" si="48"/>
        <v>110106</v>
      </c>
      <c r="W234" s="280">
        <f t="shared" si="49"/>
        <v>990954</v>
      </c>
      <c r="X234" s="53">
        <f t="shared" si="50"/>
        <v>110109</v>
      </c>
      <c r="Y234" s="53">
        <f t="shared" si="51"/>
        <v>0</v>
      </c>
      <c r="AA234" s="279">
        <f t="shared" si="52"/>
        <v>41246</v>
      </c>
      <c r="AB234" s="280">
        <f t="shared" si="53"/>
        <v>371214</v>
      </c>
      <c r="AC234" s="53">
        <f t="shared" si="54"/>
        <v>41241</v>
      </c>
      <c r="AD234" s="53">
        <f t="shared" si="55"/>
        <v>0</v>
      </c>
      <c r="AF234" s="279">
        <f t="shared" si="56"/>
        <v>16817</v>
      </c>
      <c r="AG234" s="280">
        <f t="shared" si="57"/>
        <v>151353</v>
      </c>
      <c r="AH234" s="53">
        <f t="shared" si="58"/>
        <v>16816</v>
      </c>
      <c r="AI234" s="53">
        <f t="shared" si="59"/>
        <v>0</v>
      </c>
    </row>
    <row r="235" spans="1:35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4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4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>IF(Notes!$B$2="June",'AEA Funding and Payments'!$X235,ROUND(N235/10,0))</f>
        <v>13989</v>
      </c>
      <c r="S235" s="221">
        <f>IF(Notes!$B$2="June",'AEA Funding and Payments'!$AC235,ROUND(O235/10,0))</f>
        <v>4820</v>
      </c>
      <c r="T235" s="221">
        <f t="shared" si="47"/>
        <v>18809</v>
      </c>
      <c r="U235" s="237"/>
      <c r="V235" s="279">
        <f t="shared" si="48"/>
        <v>13993</v>
      </c>
      <c r="W235" s="280">
        <f t="shared" si="49"/>
        <v>125937</v>
      </c>
      <c r="X235" s="53">
        <f t="shared" si="50"/>
        <v>13989</v>
      </c>
      <c r="Y235" s="53">
        <f t="shared" si="51"/>
        <v>0</v>
      </c>
      <c r="AA235" s="279">
        <f t="shared" si="52"/>
        <v>4825</v>
      </c>
      <c r="AB235" s="280">
        <f t="shared" si="53"/>
        <v>43425</v>
      </c>
      <c r="AC235" s="53">
        <f t="shared" si="54"/>
        <v>4820</v>
      </c>
      <c r="AD235" s="53">
        <f t="shared" si="55"/>
        <v>0</v>
      </c>
      <c r="AF235" s="279">
        <f t="shared" si="56"/>
        <v>2091</v>
      </c>
      <c r="AG235" s="280">
        <f t="shared" si="57"/>
        <v>18819</v>
      </c>
      <c r="AH235" s="53">
        <f t="shared" si="58"/>
        <v>2089</v>
      </c>
      <c r="AI235" s="53">
        <f t="shared" si="59"/>
        <v>0</v>
      </c>
    </row>
    <row r="236" spans="1:35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4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4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>IF(Notes!$B$2="June",'AEA Funding and Payments'!$X236,ROUND(N236/10,0))</f>
        <v>3788</v>
      </c>
      <c r="S236" s="221">
        <f>IF(Notes!$B$2="June",'AEA Funding and Payments'!$AC236,ROUND(O236/10,0))</f>
        <v>1682</v>
      </c>
      <c r="T236" s="221">
        <f t="shared" si="47"/>
        <v>5470</v>
      </c>
      <c r="U236" s="237"/>
      <c r="V236" s="279">
        <f t="shared" si="48"/>
        <v>3788</v>
      </c>
      <c r="W236" s="280">
        <f t="shared" si="49"/>
        <v>34092</v>
      </c>
      <c r="X236" s="53">
        <f t="shared" si="50"/>
        <v>3788</v>
      </c>
      <c r="Y236" s="53">
        <f t="shared" si="51"/>
        <v>0</v>
      </c>
      <c r="AA236" s="279">
        <f t="shared" si="52"/>
        <v>1684</v>
      </c>
      <c r="AB236" s="280">
        <f t="shared" si="53"/>
        <v>15156</v>
      </c>
      <c r="AC236" s="53">
        <f t="shared" si="54"/>
        <v>1682</v>
      </c>
      <c r="AD236" s="53">
        <f t="shared" si="55"/>
        <v>0</v>
      </c>
      <c r="AF236" s="279">
        <f t="shared" si="56"/>
        <v>608</v>
      </c>
      <c r="AG236" s="280">
        <f t="shared" si="57"/>
        <v>5472</v>
      </c>
      <c r="AH236" s="53">
        <f t="shared" si="58"/>
        <v>608</v>
      </c>
      <c r="AI236" s="53">
        <f t="shared" si="59"/>
        <v>0</v>
      </c>
    </row>
    <row r="237" spans="1:35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4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4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>IF(Notes!$B$2="June",'AEA Funding and Payments'!$X237,ROUND(N237/10,0))</f>
        <v>12856</v>
      </c>
      <c r="S237" s="221">
        <f>IF(Notes!$B$2="June",'AEA Funding and Payments'!$AC237,ROUND(O237/10,0))</f>
        <v>5472</v>
      </c>
      <c r="T237" s="221">
        <f t="shared" si="47"/>
        <v>18328</v>
      </c>
      <c r="U237" s="237"/>
      <c r="V237" s="279">
        <f t="shared" si="48"/>
        <v>12852</v>
      </c>
      <c r="W237" s="280">
        <f t="shared" si="49"/>
        <v>115668</v>
      </c>
      <c r="X237" s="53">
        <f t="shared" si="50"/>
        <v>12856</v>
      </c>
      <c r="Y237" s="53">
        <f t="shared" si="51"/>
        <v>0</v>
      </c>
      <c r="AA237" s="279">
        <f t="shared" si="52"/>
        <v>5471</v>
      </c>
      <c r="AB237" s="280">
        <f t="shared" si="53"/>
        <v>49239</v>
      </c>
      <c r="AC237" s="53">
        <f t="shared" si="54"/>
        <v>5472</v>
      </c>
      <c r="AD237" s="53">
        <f t="shared" si="55"/>
        <v>0</v>
      </c>
      <c r="AF237" s="279">
        <f t="shared" si="56"/>
        <v>2036</v>
      </c>
      <c r="AG237" s="280">
        <f t="shared" si="57"/>
        <v>18324</v>
      </c>
      <c r="AH237" s="53">
        <f t="shared" si="58"/>
        <v>2035</v>
      </c>
      <c r="AI237" s="53">
        <f t="shared" si="59"/>
        <v>0</v>
      </c>
    </row>
    <row r="238" spans="1:35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4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4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>IF(Notes!$B$2="June",'AEA Funding and Payments'!$X238,ROUND(N238/10,0))</f>
        <v>11040</v>
      </c>
      <c r="S238" s="221">
        <f>IF(Notes!$B$2="June",'AEA Funding and Payments'!$AC238,ROUND(O238/10,0))</f>
        <v>4692</v>
      </c>
      <c r="T238" s="221">
        <f t="shared" si="47"/>
        <v>15732</v>
      </c>
      <c r="U238" s="237"/>
      <c r="V238" s="279">
        <f t="shared" si="48"/>
        <v>11045</v>
      </c>
      <c r="W238" s="280">
        <f t="shared" si="49"/>
        <v>99405</v>
      </c>
      <c r="X238" s="53">
        <f t="shared" si="50"/>
        <v>11040</v>
      </c>
      <c r="Y238" s="53">
        <f t="shared" si="51"/>
        <v>0</v>
      </c>
      <c r="AA238" s="279">
        <f t="shared" si="52"/>
        <v>4693</v>
      </c>
      <c r="AB238" s="280">
        <f t="shared" si="53"/>
        <v>42237</v>
      </c>
      <c r="AC238" s="53">
        <f t="shared" si="54"/>
        <v>4692</v>
      </c>
      <c r="AD238" s="53">
        <f t="shared" si="55"/>
        <v>0</v>
      </c>
      <c r="AF238" s="279">
        <f t="shared" si="56"/>
        <v>1749</v>
      </c>
      <c r="AG238" s="280">
        <f t="shared" si="57"/>
        <v>15741</v>
      </c>
      <c r="AH238" s="53">
        <f t="shared" si="58"/>
        <v>1745</v>
      </c>
      <c r="AI238" s="53">
        <f t="shared" si="59"/>
        <v>0</v>
      </c>
    </row>
    <row r="239" spans="1:35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4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4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>IF(Notes!$B$2="June",'AEA Funding and Payments'!$X239,ROUND(N239/10,0))</f>
        <v>45289</v>
      </c>
      <c r="S239" s="221">
        <f>IF(Notes!$B$2="June",'AEA Funding and Payments'!$AC239,ROUND(O239/10,0))</f>
        <v>15617</v>
      </c>
      <c r="T239" s="221">
        <f t="shared" si="47"/>
        <v>60906</v>
      </c>
      <c r="U239" s="237"/>
      <c r="V239" s="279">
        <f t="shared" si="48"/>
        <v>45285</v>
      </c>
      <c r="W239" s="280">
        <f t="shared" si="49"/>
        <v>407565</v>
      </c>
      <c r="X239" s="53">
        <f t="shared" si="50"/>
        <v>45289</v>
      </c>
      <c r="Y239" s="53">
        <f t="shared" si="51"/>
        <v>0</v>
      </c>
      <c r="AA239" s="279">
        <f t="shared" si="52"/>
        <v>15614</v>
      </c>
      <c r="AB239" s="280">
        <f t="shared" si="53"/>
        <v>140526</v>
      </c>
      <c r="AC239" s="53">
        <f t="shared" si="54"/>
        <v>15617</v>
      </c>
      <c r="AD239" s="53">
        <f t="shared" si="55"/>
        <v>0</v>
      </c>
      <c r="AF239" s="279">
        <f t="shared" si="56"/>
        <v>6767</v>
      </c>
      <c r="AG239" s="280">
        <f t="shared" si="57"/>
        <v>60903</v>
      </c>
      <c r="AH239" s="53">
        <f t="shared" si="58"/>
        <v>6763</v>
      </c>
      <c r="AI239" s="53">
        <f t="shared" si="59"/>
        <v>0</v>
      </c>
    </row>
    <row r="240" spans="1:35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4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4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>IF(Notes!$B$2="June",'AEA Funding and Payments'!$X240,ROUND(N240/10,0))</f>
        <v>38898</v>
      </c>
      <c r="S240" s="221">
        <f>IF(Notes!$B$2="June",'AEA Funding and Payments'!$AC240,ROUND(O240/10,0))</f>
        <v>16091</v>
      </c>
      <c r="T240" s="221">
        <f t="shared" si="47"/>
        <v>54989</v>
      </c>
      <c r="U240" s="237"/>
      <c r="V240" s="279">
        <f t="shared" si="48"/>
        <v>38899</v>
      </c>
      <c r="W240" s="280">
        <f t="shared" si="49"/>
        <v>350091</v>
      </c>
      <c r="X240" s="53">
        <f t="shared" si="50"/>
        <v>38898</v>
      </c>
      <c r="Y240" s="53">
        <f t="shared" si="51"/>
        <v>0</v>
      </c>
      <c r="AA240" s="279">
        <f t="shared" si="52"/>
        <v>16088</v>
      </c>
      <c r="AB240" s="280">
        <f t="shared" si="53"/>
        <v>144792</v>
      </c>
      <c r="AC240" s="53">
        <f t="shared" si="54"/>
        <v>16091</v>
      </c>
      <c r="AD240" s="53">
        <f t="shared" si="55"/>
        <v>0</v>
      </c>
      <c r="AF240" s="279">
        <f t="shared" si="56"/>
        <v>6110</v>
      </c>
      <c r="AG240" s="280">
        <f t="shared" si="57"/>
        <v>54990</v>
      </c>
      <c r="AH240" s="53">
        <f t="shared" si="58"/>
        <v>6107</v>
      </c>
      <c r="AI240" s="53">
        <f t="shared" si="59"/>
        <v>0</v>
      </c>
    </row>
    <row r="241" spans="1:35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4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4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>IF(Notes!$B$2="June",'AEA Funding and Payments'!$X241,ROUND(N241/10,0))</f>
        <v>112081</v>
      </c>
      <c r="S241" s="221">
        <f>IF(Notes!$B$2="June",'AEA Funding and Payments'!$AC241,ROUND(O241/10,0))</f>
        <v>44211</v>
      </c>
      <c r="T241" s="221">
        <f t="shared" si="47"/>
        <v>156292</v>
      </c>
      <c r="U241" s="237"/>
      <c r="V241" s="279">
        <f t="shared" si="48"/>
        <v>112084</v>
      </c>
      <c r="W241" s="280">
        <f t="shared" si="49"/>
        <v>1008756</v>
      </c>
      <c r="X241" s="53">
        <f t="shared" si="50"/>
        <v>112081</v>
      </c>
      <c r="Y241" s="53">
        <f t="shared" si="51"/>
        <v>0</v>
      </c>
      <c r="AA241" s="279">
        <f t="shared" si="52"/>
        <v>44216</v>
      </c>
      <c r="AB241" s="280">
        <f t="shared" si="53"/>
        <v>397944</v>
      </c>
      <c r="AC241" s="53">
        <f t="shared" si="54"/>
        <v>44211</v>
      </c>
      <c r="AD241" s="53">
        <f t="shared" si="55"/>
        <v>0</v>
      </c>
      <c r="AF241" s="279">
        <f t="shared" si="56"/>
        <v>17367</v>
      </c>
      <c r="AG241" s="280">
        <f t="shared" si="57"/>
        <v>156303</v>
      </c>
      <c r="AH241" s="53">
        <f t="shared" si="58"/>
        <v>17363</v>
      </c>
      <c r="AI241" s="53">
        <f t="shared" si="59"/>
        <v>0</v>
      </c>
    </row>
    <row r="242" spans="1:35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4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4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>IF(Notes!$B$2="June",'AEA Funding and Payments'!$X242,ROUND(N242/10,0))</f>
        <v>14960</v>
      </c>
      <c r="S242" s="221">
        <f>IF(Notes!$B$2="June",'AEA Funding and Payments'!$AC242,ROUND(O242/10,0))</f>
        <v>5156</v>
      </c>
      <c r="T242" s="221">
        <f t="shared" si="47"/>
        <v>20116</v>
      </c>
      <c r="U242" s="237"/>
      <c r="V242" s="279">
        <f t="shared" si="48"/>
        <v>14956</v>
      </c>
      <c r="W242" s="280">
        <f t="shared" si="49"/>
        <v>134604</v>
      </c>
      <c r="X242" s="53">
        <f t="shared" si="50"/>
        <v>14960</v>
      </c>
      <c r="Y242" s="53">
        <f t="shared" si="51"/>
        <v>0</v>
      </c>
      <c r="AA242" s="279">
        <f t="shared" si="52"/>
        <v>5157</v>
      </c>
      <c r="AB242" s="280">
        <f t="shared" si="53"/>
        <v>46413</v>
      </c>
      <c r="AC242" s="53">
        <f t="shared" si="54"/>
        <v>5156</v>
      </c>
      <c r="AD242" s="53">
        <f t="shared" si="55"/>
        <v>0</v>
      </c>
      <c r="AF242" s="279">
        <f t="shared" si="56"/>
        <v>2235</v>
      </c>
      <c r="AG242" s="280">
        <f t="shared" si="57"/>
        <v>20115</v>
      </c>
      <c r="AH242" s="53">
        <f t="shared" si="58"/>
        <v>2233</v>
      </c>
      <c r="AI242" s="53">
        <f t="shared" si="59"/>
        <v>0</v>
      </c>
    </row>
    <row r="243" spans="1:35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4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4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>IF(Notes!$B$2="June",'AEA Funding and Payments'!$X243,ROUND(N243/10,0))</f>
        <v>13824</v>
      </c>
      <c r="S243" s="221">
        <f>IF(Notes!$B$2="June",'AEA Funding and Payments'!$AC243,ROUND(O243/10,0))</f>
        <v>6190</v>
      </c>
      <c r="T243" s="221">
        <f t="shared" si="47"/>
        <v>20014</v>
      </c>
      <c r="U243" s="237"/>
      <c r="V243" s="279">
        <f t="shared" si="48"/>
        <v>13820</v>
      </c>
      <c r="W243" s="280">
        <f t="shared" si="49"/>
        <v>124380</v>
      </c>
      <c r="X243" s="53">
        <f t="shared" si="50"/>
        <v>13824</v>
      </c>
      <c r="Y243" s="53">
        <f t="shared" si="51"/>
        <v>0</v>
      </c>
      <c r="AA243" s="279">
        <f t="shared" si="52"/>
        <v>6188</v>
      </c>
      <c r="AB243" s="280">
        <f t="shared" si="53"/>
        <v>55692</v>
      </c>
      <c r="AC243" s="53">
        <f t="shared" si="54"/>
        <v>6190</v>
      </c>
      <c r="AD243" s="53">
        <f t="shared" si="55"/>
        <v>0</v>
      </c>
      <c r="AF243" s="279">
        <f t="shared" si="56"/>
        <v>2223</v>
      </c>
      <c r="AG243" s="280">
        <f t="shared" si="57"/>
        <v>20007</v>
      </c>
      <c r="AH243" s="53">
        <f t="shared" si="58"/>
        <v>2225</v>
      </c>
      <c r="AI243" s="53">
        <f t="shared" si="59"/>
        <v>0</v>
      </c>
    </row>
    <row r="244" spans="1:35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4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4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>IF(Notes!$B$2="June",'AEA Funding and Payments'!$X244,ROUND(N244/10,0))</f>
        <v>15345</v>
      </c>
      <c r="S244" s="221">
        <f>IF(Notes!$B$2="June",'AEA Funding and Payments'!$AC244,ROUND(O244/10,0))</f>
        <v>7801</v>
      </c>
      <c r="T244" s="221">
        <f t="shared" si="47"/>
        <v>23146</v>
      </c>
      <c r="U244" s="237"/>
      <c r="V244" s="279">
        <f t="shared" si="48"/>
        <v>15350</v>
      </c>
      <c r="W244" s="280">
        <f t="shared" si="49"/>
        <v>138150</v>
      </c>
      <c r="X244" s="53">
        <f t="shared" si="50"/>
        <v>15345</v>
      </c>
      <c r="Y244" s="53">
        <f t="shared" si="51"/>
        <v>0</v>
      </c>
      <c r="AA244" s="279">
        <f t="shared" si="52"/>
        <v>7801</v>
      </c>
      <c r="AB244" s="280">
        <f t="shared" si="53"/>
        <v>70209</v>
      </c>
      <c r="AC244" s="53">
        <f t="shared" si="54"/>
        <v>7801</v>
      </c>
      <c r="AD244" s="53">
        <f t="shared" si="55"/>
        <v>0</v>
      </c>
      <c r="AF244" s="279">
        <f t="shared" si="56"/>
        <v>2572</v>
      </c>
      <c r="AG244" s="280">
        <f t="shared" si="57"/>
        <v>23148</v>
      </c>
      <c r="AH244" s="53">
        <f t="shared" si="58"/>
        <v>2575</v>
      </c>
      <c r="AI244" s="53">
        <f t="shared" si="59"/>
        <v>0</v>
      </c>
    </row>
    <row r="245" spans="1:35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4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4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>IF(Notes!$B$2="June",'AEA Funding and Payments'!$X245,ROUND(N245/10,0))</f>
        <v>20659</v>
      </c>
      <c r="S245" s="221">
        <f>IF(Notes!$B$2="June",'AEA Funding and Payments'!$AC245,ROUND(O245/10,0))</f>
        <v>7121</v>
      </c>
      <c r="T245" s="221">
        <f t="shared" si="47"/>
        <v>27780</v>
      </c>
      <c r="U245" s="237"/>
      <c r="V245" s="279">
        <f t="shared" si="48"/>
        <v>20655</v>
      </c>
      <c r="W245" s="280">
        <f t="shared" si="49"/>
        <v>185895</v>
      </c>
      <c r="X245" s="53">
        <f t="shared" si="50"/>
        <v>20659</v>
      </c>
      <c r="Y245" s="53">
        <f t="shared" si="51"/>
        <v>0</v>
      </c>
      <c r="AA245" s="279">
        <f t="shared" si="52"/>
        <v>7122</v>
      </c>
      <c r="AB245" s="280">
        <f t="shared" si="53"/>
        <v>64098</v>
      </c>
      <c r="AC245" s="53">
        <f t="shared" si="54"/>
        <v>7121</v>
      </c>
      <c r="AD245" s="53">
        <f t="shared" si="55"/>
        <v>0</v>
      </c>
      <c r="AF245" s="279">
        <f t="shared" si="56"/>
        <v>3086</v>
      </c>
      <c r="AG245" s="280">
        <f t="shared" si="57"/>
        <v>27774</v>
      </c>
      <c r="AH245" s="53">
        <f t="shared" si="58"/>
        <v>3090</v>
      </c>
      <c r="AI245" s="53">
        <f t="shared" si="59"/>
        <v>0</v>
      </c>
    </row>
    <row r="246" spans="1:35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4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4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>IF(Notes!$B$2="June",'AEA Funding and Payments'!$X246,ROUND(N246/10,0))</f>
        <v>20200</v>
      </c>
      <c r="S246" s="221">
        <f>IF(Notes!$B$2="June",'AEA Funding and Payments'!$AC246,ROUND(O246/10,0))</f>
        <v>10592</v>
      </c>
      <c r="T246" s="221">
        <f t="shared" si="47"/>
        <v>30792</v>
      </c>
      <c r="U246" s="237"/>
      <c r="V246" s="279">
        <f t="shared" si="48"/>
        <v>20203</v>
      </c>
      <c r="W246" s="280">
        <f t="shared" si="49"/>
        <v>181827</v>
      </c>
      <c r="X246" s="53">
        <f t="shared" si="50"/>
        <v>20200</v>
      </c>
      <c r="Y246" s="53">
        <f t="shared" si="51"/>
        <v>0</v>
      </c>
      <c r="AA246" s="279">
        <f t="shared" si="52"/>
        <v>10589</v>
      </c>
      <c r="AB246" s="280">
        <f t="shared" si="53"/>
        <v>95301</v>
      </c>
      <c r="AC246" s="53">
        <f t="shared" si="54"/>
        <v>10592</v>
      </c>
      <c r="AD246" s="53">
        <f t="shared" si="55"/>
        <v>0</v>
      </c>
      <c r="AF246" s="279">
        <f t="shared" si="56"/>
        <v>3421</v>
      </c>
      <c r="AG246" s="280">
        <f t="shared" si="57"/>
        <v>30789</v>
      </c>
      <c r="AH246" s="53">
        <f t="shared" si="58"/>
        <v>3424</v>
      </c>
      <c r="AI246" s="53">
        <f t="shared" si="59"/>
        <v>0</v>
      </c>
    </row>
    <row r="247" spans="1:35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4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4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>IF(Notes!$B$2="June",'AEA Funding and Payments'!$X247,ROUND(N247/10,0))</f>
        <v>7572</v>
      </c>
      <c r="S247" s="221">
        <f>IF(Notes!$B$2="June",'AEA Funding and Payments'!$AC247,ROUND(O247/10,0))</f>
        <v>3220</v>
      </c>
      <c r="T247" s="221">
        <f t="shared" si="47"/>
        <v>10792</v>
      </c>
      <c r="U247" s="237"/>
      <c r="V247" s="279">
        <f t="shared" si="48"/>
        <v>7568</v>
      </c>
      <c r="W247" s="280">
        <f t="shared" si="49"/>
        <v>68112</v>
      </c>
      <c r="X247" s="53">
        <f t="shared" si="50"/>
        <v>7572</v>
      </c>
      <c r="Y247" s="53">
        <f t="shared" si="51"/>
        <v>0</v>
      </c>
      <c r="AA247" s="279">
        <f t="shared" si="52"/>
        <v>3222</v>
      </c>
      <c r="AB247" s="280">
        <f t="shared" si="53"/>
        <v>28998</v>
      </c>
      <c r="AC247" s="53">
        <f t="shared" si="54"/>
        <v>3220</v>
      </c>
      <c r="AD247" s="53">
        <f t="shared" si="55"/>
        <v>0</v>
      </c>
      <c r="AF247" s="279">
        <f t="shared" si="56"/>
        <v>1199</v>
      </c>
      <c r="AG247" s="280">
        <f t="shared" si="57"/>
        <v>10791</v>
      </c>
      <c r="AH247" s="53">
        <f t="shared" si="58"/>
        <v>1198</v>
      </c>
      <c r="AI247" s="53">
        <f t="shared" si="59"/>
        <v>0</v>
      </c>
    </row>
    <row r="248" spans="1:35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4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4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>IF(Notes!$B$2="June",'AEA Funding and Payments'!$X248,ROUND(N248/10,0))</f>
        <v>7445</v>
      </c>
      <c r="S248" s="221">
        <f>IF(Notes!$B$2="June",'AEA Funding and Payments'!$AC248,ROUND(O248/10,0))</f>
        <v>3481</v>
      </c>
      <c r="T248" s="221">
        <f t="shared" si="47"/>
        <v>10926</v>
      </c>
      <c r="U248" s="237"/>
      <c r="V248" s="279">
        <f t="shared" si="48"/>
        <v>7443</v>
      </c>
      <c r="W248" s="280">
        <f t="shared" si="49"/>
        <v>66987</v>
      </c>
      <c r="X248" s="53">
        <f t="shared" si="50"/>
        <v>7445</v>
      </c>
      <c r="Y248" s="53">
        <f t="shared" si="51"/>
        <v>0</v>
      </c>
      <c r="AA248" s="279">
        <f t="shared" si="52"/>
        <v>3486</v>
      </c>
      <c r="AB248" s="280">
        <f t="shared" si="53"/>
        <v>31374</v>
      </c>
      <c r="AC248" s="53">
        <f t="shared" si="54"/>
        <v>3481</v>
      </c>
      <c r="AD248" s="53">
        <f t="shared" si="55"/>
        <v>0</v>
      </c>
      <c r="AF248" s="279">
        <f t="shared" si="56"/>
        <v>1214</v>
      </c>
      <c r="AG248" s="280">
        <f t="shared" si="57"/>
        <v>10926</v>
      </c>
      <c r="AH248" s="53">
        <f t="shared" si="58"/>
        <v>1217</v>
      </c>
      <c r="AI248" s="53">
        <f t="shared" si="59"/>
        <v>0</v>
      </c>
    </row>
    <row r="249" spans="1:35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4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4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>IF(Notes!$B$2="June",'AEA Funding and Payments'!$X249,ROUND(N249/10,0))</f>
        <v>15936</v>
      </c>
      <c r="S249" s="221">
        <f>IF(Notes!$B$2="June",'AEA Funding and Payments'!$AC249,ROUND(O249/10,0))</f>
        <v>8000</v>
      </c>
      <c r="T249" s="221">
        <f t="shared" si="47"/>
        <v>23936</v>
      </c>
      <c r="U249" s="237"/>
      <c r="V249" s="279">
        <f t="shared" si="48"/>
        <v>15933</v>
      </c>
      <c r="W249" s="280">
        <f t="shared" si="49"/>
        <v>143397</v>
      </c>
      <c r="X249" s="53">
        <f t="shared" si="50"/>
        <v>15936</v>
      </c>
      <c r="Y249" s="53">
        <f t="shared" si="51"/>
        <v>0</v>
      </c>
      <c r="AA249" s="279">
        <f t="shared" si="52"/>
        <v>7997</v>
      </c>
      <c r="AB249" s="280">
        <f t="shared" si="53"/>
        <v>71973</v>
      </c>
      <c r="AC249" s="53">
        <f t="shared" si="54"/>
        <v>8000</v>
      </c>
      <c r="AD249" s="53">
        <f t="shared" si="55"/>
        <v>0</v>
      </c>
      <c r="AF249" s="279">
        <f t="shared" si="56"/>
        <v>2659</v>
      </c>
      <c r="AG249" s="280">
        <f t="shared" si="57"/>
        <v>23931</v>
      </c>
      <c r="AH249" s="53">
        <f t="shared" si="58"/>
        <v>2659</v>
      </c>
      <c r="AI249" s="53">
        <f t="shared" si="59"/>
        <v>0</v>
      </c>
    </row>
    <row r="250" spans="1:35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4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4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>IF(Notes!$B$2="June",'AEA Funding and Payments'!$X250,ROUND(N250/10,0))</f>
        <v>21021</v>
      </c>
      <c r="S250" s="221">
        <f>IF(Notes!$B$2="June",'AEA Funding and Payments'!$AC250,ROUND(O250/10,0))</f>
        <v>7251</v>
      </c>
      <c r="T250" s="221">
        <f t="shared" si="47"/>
        <v>28272</v>
      </c>
      <c r="U250" s="237"/>
      <c r="V250" s="279">
        <f t="shared" si="48"/>
        <v>21022</v>
      </c>
      <c r="W250" s="280">
        <f t="shared" si="49"/>
        <v>189198</v>
      </c>
      <c r="X250" s="53">
        <f t="shared" si="50"/>
        <v>21021</v>
      </c>
      <c r="Y250" s="53">
        <f t="shared" si="51"/>
        <v>0</v>
      </c>
      <c r="AA250" s="279">
        <f t="shared" si="52"/>
        <v>7248</v>
      </c>
      <c r="AB250" s="280">
        <f t="shared" si="53"/>
        <v>65232</v>
      </c>
      <c r="AC250" s="53">
        <f t="shared" si="54"/>
        <v>7251</v>
      </c>
      <c r="AD250" s="53">
        <f t="shared" si="55"/>
        <v>0</v>
      </c>
      <c r="AF250" s="279">
        <f t="shared" si="56"/>
        <v>3141</v>
      </c>
      <c r="AG250" s="280">
        <f t="shared" si="57"/>
        <v>28269</v>
      </c>
      <c r="AH250" s="53">
        <f t="shared" si="58"/>
        <v>3142</v>
      </c>
      <c r="AI250" s="53">
        <f t="shared" si="59"/>
        <v>0</v>
      </c>
    </row>
    <row r="251" spans="1:35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4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4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>IF(Notes!$B$2="June",'AEA Funding and Payments'!$X251,ROUND(N251/10,0))</f>
        <v>8803</v>
      </c>
      <c r="S251" s="221">
        <f>IF(Notes!$B$2="June",'AEA Funding and Payments'!$AC251,ROUND(O251/10,0))</f>
        <v>3953</v>
      </c>
      <c r="T251" s="221">
        <f t="shared" si="47"/>
        <v>12756</v>
      </c>
      <c r="U251" s="237"/>
      <c r="V251" s="279">
        <f t="shared" si="48"/>
        <v>8806</v>
      </c>
      <c r="W251" s="280">
        <f t="shared" si="49"/>
        <v>79254</v>
      </c>
      <c r="X251" s="53">
        <f t="shared" si="50"/>
        <v>8803</v>
      </c>
      <c r="Y251" s="53">
        <f t="shared" si="51"/>
        <v>0</v>
      </c>
      <c r="AA251" s="279">
        <f t="shared" si="52"/>
        <v>3951</v>
      </c>
      <c r="AB251" s="280">
        <f t="shared" si="53"/>
        <v>35559</v>
      </c>
      <c r="AC251" s="53">
        <f t="shared" si="54"/>
        <v>3953</v>
      </c>
      <c r="AD251" s="53">
        <f t="shared" si="55"/>
        <v>0</v>
      </c>
      <c r="AF251" s="279">
        <f t="shared" si="56"/>
        <v>1417</v>
      </c>
      <c r="AG251" s="280">
        <f t="shared" si="57"/>
        <v>12753</v>
      </c>
      <c r="AH251" s="53">
        <f t="shared" si="58"/>
        <v>1421</v>
      </c>
      <c r="AI251" s="53">
        <f t="shared" si="59"/>
        <v>0</v>
      </c>
    </row>
    <row r="252" spans="1:35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4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4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>IF(Notes!$B$2="June",'AEA Funding and Payments'!$X252,ROUND(N252/10,0))</f>
        <v>3995</v>
      </c>
      <c r="S252" s="221">
        <f>IF(Notes!$B$2="June",'AEA Funding and Payments'!$AC252,ROUND(O252/10,0))</f>
        <v>2630</v>
      </c>
      <c r="T252" s="221">
        <f t="shared" si="47"/>
        <v>6625</v>
      </c>
      <c r="U252" s="237"/>
      <c r="V252" s="279">
        <f t="shared" si="48"/>
        <v>3991</v>
      </c>
      <c r="W252" s="280">
        <f t="shared" si="49"/>
        <v>35919</v>
      </c>
      <c r="X252" s="53">
        <f t="shared" si="50"/>
        <v>3995</v>
      </c>
      <c r="Y252" s="53">
        <f t="shared" si="51"/>
        <v>0</v>
      </c>
      <c r="AA252" s="279">
        <f t="shared" si="52"/>
        <v>2632</v>
      </c>
      <c r="AB252" s="280">
        <f t="shared" si="53"/>
        <v>23688</v>
      </c>
      <c r="AC252" s="53">
        <f t="shared" si="54"/>
        <v>2630</v>
      </c>
      <c r="AD252" s="53">
        <f t="shared" si="55"/>
        <v>0</v>
      </c>
      <c r="AF252" s="279">
        <f t="shared" si="56"/>
        <v>736</v>
      </c>
      <c r="AG252" s="280">
        <f t="shared" si="57"/>
        <v>6624</v>
      </c>
      <c r="AH252" s="53">
        <f t="shared" si="58"/>
        <v>735</v>
      </c>
      <c r="AI252" s="53">
        <f t="shared" si="59"/>
        <v>0</v>
      </c>
    </row>
    <row r="253" spans="1:35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4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4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>IF(Notes!$B$2="June",'AEA Funding and Payments'!$X253,ROUND(N253/10,0))</f>
        <v>12760</v>
      </c>
      <c r="S253" s="221">
        <f>IF(Notes!$B$2="June",'AEA Funding and Payments'!$AC253,ROUND(O253/10,0))</f>
        <v>5200</v>
      </c>
      <c r="T253" s="221">
        <f t="shared" si="47"/>
        <v>17960</v>
      </c>
      <c r="U253" s="237"/>
      <c r="V253" s="279">
        <f t="shared" si="48"/>
        <v>12761</v>
      </c>
      <c r="W253" s="280">
        <f t="shared" si="49"/>
        <v>114849</v>
      </c>
      <c r="X253" s="53">
        <f t="shared" si="50"/>
        <v>12760</v>
      </c>
      <c r="Y253" s="53">
        <f t="shared" si="51"/>
        <v>0</v>
      </c>
      <c r="AA253" s="279">
        <f t="shared" si="52"/>
        <v>5201</v>
      </c>
      <c r="AB253" s="280">
        <f t="shared" si="53"/>
        <v>46809</v>
      </c>
      <c r="AC253" s="53">
        <f t="shared" si="54"/>
        <v>5200</v>
      </c>
      <c r="AD253" s="53">
        <f t="shared" si="55"/>
        <v>0</v>
      </c>
      <c r="AF253" s="279">
        <f t="shared" si="56"/>
        <v>1996</v>
      </c>
      <c r="AG253" s="280">
        <f t="shared" si="57"/>
        <v>17964</v>
      </c>
      <c r="AH253" s="53">
        <f t="shared" si="58"/>
        <v>1994</v>
      </c>
      <c r="AI253" s="53">
        <f t="shared" si="59"/>
        <v>0</v>
      </c>
    </row>
    <row r="254" spans="1:35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4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4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>IF(Notes!$B$2="June",'AEA Funding and Payments'!$X254,ROUND(N254/10,0))</f>
        <v>21878</v>
      </c>
      <c r="S254" s="221">
        <f>IF(Notes!$B$2="June",'AEA Funding and Payments'!$AC254,ROUND(O254/10,0))</f>
        <v>7547</v>
      </c>
      <c r="T254" s="221">
        <f t="shared" si="47"/>
        <v>29425</v>
      </c>
      <c r="U254" s="237"/>
      <c r="V254" s="279">
        <f t="shared" si="48"/>
        <v>21878</v>
      </c>
      <c r="W254" s="280">
        <f t="shared" si="49"/>
        <v>196902</v>
      </c>
      <c r="X254" s="53">
        <f t="shared" si="50"/>
        <v>21878</v>
      </c>
      <c r="Y254" s="53">
        <f t="shared" si="51"/>
        <v>0</v>
      </c>
      <c r="AA254" s="279">
        <f t="shared" si="52"/>
        <v>7543</v>
      </c>
      <c r="AB254" s="280">
        <f t="shared" si="53"/>
        <v>67887</v>
      </c>
      <c r="AC254" s="53">
        <f t="shared" si="54"/>
        <v>7547</v>
      </c>
      <c r="AD254" s="53">
        <f t="shared" si="55"/>
        <v>0</v>
      </c>
      <c r="AF254" s="279">
        <f t="shared" si="56"/>
        <v>3269</v>
      </c>
      <c r="AG254" s="280">
        <f t="shared" si="57"/>
        <v>29421</v>
      </c>
      <c r="AH254" s="53">
        <f t="shared" si="58"/>
        <v>3269</v>
      </c>
      <c r="AI254" s="53">
        <f t="shared" si="59"/>
        <v>0</v>
      </c>
    </row>
    <row r="255" spans="1:35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4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4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>IF(Notes!$B$2="June",'AEA Funding and Payments'!$X255,ROUND(N255/10,0))</f>
        <v>7547</v>
      </c>
      <c r="S255" s="221">
        <f>IF(Notes!$B$2="June",'AEA Funding and Payments'!$AC255,ROUND(O255/10,0))</f>
        <v>3352</v>
      </c>
      <c r="T255" s="221">
        <f t="shared" si="47"/>
        <v>10899</v>
      </c>
      <c r="U255" s="237"/>
      <c r="V255" s="279">
        <f t="shared" si="48"/>
        <v>7545</v>
      </c>
      <c r="W255" s="280">
        <f t="shared" si="49"/>
        <v>67905</v>
      </c>
      <c r="X255" s="53">
        <f t="shared" si="50"/>
        <v>7547</v>
      </c>
      <c r="Y255" s="53">
        <f t="shared" si="51"/>
        <v>0</v>
      </c>
      <c r="AA255" s="279">
        <f t="shared" si="52"/>
        <v>3354</v>
      </c>
      <c r="AB255" s="280">
        <f t="shared" si="53"/>
        <v>30186</v>
      </c>
      <c r="AC255" s="53">
        <f t="shared" si="54"/>
        <v>3352</v>
      </c>
      <c r="AD255" s="53">
        <f t="shared" si="55"/>
        <v>0</v>
      </c>
      <c r="AF255" s="279">
        <f t="shared" si="56"/>
        <v>1211</v>
      </c>
      <c r="AG255" s="280">
        <f t="shared" si="57"/>
        <v>10899</v>
      </c>
      <c r="AH255" s="53">
        <f t="shared" si="58"/>
        <v>1211</v>
      </c>
      <c r="AI255" s="53">
        <f t="shared" si="59"/>
        <v>0</v>
      </c>
    </row>
    <row r="256" spans="1:35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4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4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>IF(Notes!$B$2="June",'AEA Funding and Payments'!$X256,ROUND(N256/10,0))</f>
        <v>4868</v>
      </c>
      <c r="S256" s="221">
        <f>IF(Notes!$B$2="June",'AEA Funding and Payments'!$AC256,ROUND(O256/10,0))</f>
        <v>3163</v>
      </c>
      <c r="T256" s="221">
        <f t="shared" si="47"/>
        <v>8031</v>
      </c>
      <c r="U256" s="237"/>
      <c r="V256" s="279">
        <f t="shared" si="48"/>
        <v>4866</v>
      </c>
      <c r="W256" s="280">
        <f t="shared" si="49"/>
        <v>43794</v>
      </c>
      <c r="X256" s="53">
        <f t="shared" si="50"/>
        <v>4868</v>
      </c>
      <c r="Y256" s="53">
        <f t="shared" si="51"/>
        <v>0</v>
      </c>
      <c r="AA256" s="279">
        <f t="shared" si="52"/>
        <v>3168</v>
      </c>
      <c r="AB256" s="280">
        <f t="shared" si="53"/>
        <v>28512</v>
      </c>
      <c r="AC256" s="53">
        <f t="shared" si="54"/>
        <v>3163</v>
      </c>
      <c r="AD256" s="53">
        <f t="shared" si="55"/>
        <v>0</v>
      </c>
      <c r="AF256" s="279">
        <f t="shared" si="56"/>
        <v>893</v>
      </c>
      <c r="AG256" s="280">
        <f t="shared" si="57"/>
        <v>8037</v>
      </c>
      <c r="AH256" s="53">
        <f t="shared" si="58"/>
        <v>889</v>
      </c>
      <c r="AI256" s="53">
        <f t="shared" si="59"/>
        <v>0</v>
      </c>
    </row>
    <row r="257" spans="1:35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4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4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>IF(Notes!$B$2="June",'AEA Funding and Payments'!$X257,ROUND(N257/10,0))</f>
        <v>30215</v>
      </c>
      <c r="S257" s="221">
        <f>IF(Notes!$B$2="June",'AEA Funding and Payments'!$AC257,ROUND(O257/10,0))</f>
        <v>12860</v>
      </c>
      <c r="T257" s="221">
        <f t="shared" si="47"/>
        <v>43075</v>
      </c>
      <c r="U257" s="237"/>
      <c r="V257" s="279">
        <f t="shared" si="48"/>
        <v>30219</v>
      </c>
      <c r="W257" s="280">
        <f t="shared" si="49"/>
        <v>271971</v>
      </c>
      <c r="X257" s="53">
        <f t="shared" si="50"/>
        <v>30215</v>
      </c>
      <c r="Y257" s="53">
        <f t="shared" si="51"/>
        <v>0</v>
      </c>
      <c r="AA257" s="279">
        <f t="shared" si="52"/>
        <v>12864</v>
      </c>
      <c r="AB257" s="280">
        <f t="shared" si="53"/>
        <v>115776</v>
      </c>
      <c r="AC257" s="53">
        <f t="shared" si="54"/>
        <v>12860</v>
      </c>
      <c r="AD257" s="53">
        <f t="shared" si="55"/>
        <v>0</v>
      </c>
      <c r="AF257" s="279">
        <f t="shared" si="56"/>
        <v>4787</v>
      </c>
      <c r="AG257" s="280">
        <f t="shared" si="57"/>
        <v>43083</v>
      </c>
      <c r="AH257" s="53">
        <f t="shared" si="58"/>
        <v>4786</v>
      </c>
      <c r="AI257" s="53">
        <f t="shared" si="59"/>
        <v>0</v>
      </c>
    </row>
    <row r="258" spans="1:35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4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4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>IF(Notes!$B$2="June",'AEA Funding and Payments'!$X258,ROUND(N258/10,0))</f>
        <v>4456</v>
      </c>
      <c r="S258" s="221">
        <f>IF(Notes!$B$2="June",'AEA Funding and Payments'!$AC258,ROUND(O258/10,0))</f>
        <v>2623</v>
      </c>
      <c r="T258" s="221">
        <f t="shared" si="47"/>
        <v>7079</v>
      </c>
      <c r="U258" s="237"/>
      <c r="V258" s="279">
        <f t="shared" si="48"/>
        <v>4454</v>
      </c>
      <c r="W258" s="280">
        <f t="shared" si="49"/>
        <v>40086</v>
      </c>
      <c r="X258" s="53">
        <f t="shared" si="50"/>
        <v>4456</v>
      </c>
      <c r="Y258" s="53">
        <f t="shared" si="51"/>
        <v>0</v>
      </c>
      <c r="AA258" s="279">
        <f t="shared" si="52"/>
        <v>2621</v>
      </c>
      <c r="AB258" s="280">
        <f t="shared" si="53"/>
        <v>23589</v>
      </c>
      <c r="AC258" s="53">
        <f t="shared" si="54"/>
        <v>2623</v>
      </c>
      <c r="AD258" s="53">
        <f t="shared" si="55"/>
        <v>0</v>
      </c>
      <c r="AF258" s="279">
        <f t="shared" si="56"/>
        <v>786</v>
      </c>
      <c r="AG258" s="280">
        <f t="shared" si="57"/>
        <v>7074</v>
      </c>
      <c r="AH258" s="53">
        <f t="shared" si="58"/>
        <v>788</v>
      </c>
      <c r="AI258" s="53">
        <f t="shared" si="59"/>
        <v>0</v>
      </c>
    </row>
    <row r="259" spans="1:35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4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4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>IF(Notes!$B$2="June",'AEA Funding and Payments'!$X259,ROUND(N259/10,0))</f>
        <v>15861</v>
      </c>
      <c r="S259" s="221">
        <f>IF(Notes!$B$2="June",'AEA Funding and Payments'!$AC259,ROUND(O259/10,0))</f>
        <v>6466</v>
      </c>
      <c r="T259" s="221">
        <f t="shared" si="47"/>
        <v>22327</v>
      </c>
      <c r="U259" s="237"/>
      <c r="V259" s="279">
        <f t="shared" si="48"/>
        <v>15858</v>
      </c>
      <c r="W259" s="280">
        <f t="shared" si="49"/>
        <v>142722</v>
      </c>
      <c r="X259" s="53">
        <f t="shared" si="50"/>
        <v>15861</v>
      </c>
      <c r="Y259" s="53">
        <f t="shared" si="51"/>
        <v>0</v>
      </c>
      <c r="AA259" s="279">
        <f t="shared" si="52"/>
        <v>6463</v>
      </c>
      <c r="AB259" s="280">
        <f t="shared" si="53"/>
        <v>58167</v>
      </c>
      <c r="AC259" s="53">
        <f t="shared" si="54"/>
        <v>6466</v>
      </c>
      <c r="AD259" s="53">
        <f t="shared" si="55"/>
        <v>0</v>
      </c>
      <c r="AF259" s="279">
        <f t="shared" si="56"/>
        <v>2480</v>
      </c>
      <c r="AG259" s="280">
        <f t="shared" si="57"/>
        <v>22320</v>
      </c>
      <c r="AH259" s="53">
        <f t="shared" si="58"/>
        <v>2482</v>
      </c>
      <c r="AI259" s="53">
        <f t="shared" si="59"/>
        <v>0</v>
      </c>
    </row>
    <row r="260" spans="1:35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4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4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>IF(Notes!$B$2="June",'AEA Funding and Payments'!$X260,ROUND(N260/10,0))</f>
        <v>24312</v>
      </c>
      <c r="S260" s="221">
        <f>IF(Notes!$B$2="June",'AEA Funding and Payments'!$AC260,ROUND(O260/10,0))</f>
        <v>10346</v>
      </c>
      <c r="T260" s="221">
        <f t="shared" si="47"/>
        <v>34658</v>
      </c>
      <c r="U260" s="237"/>
      <c r="V260" s="279">
        <f t="shared" si="48"/>
        <v>24308</v>
      </c>
      <c r="W260" s="280">
        <f t="shared" si="49"/>
        <v>218772</v>
      </c>
      <c r="X260" s="53">
        <f t="shared" si="50"/>
        <v>24312</v>
      </c>
      <c r="Y260" s="53">
        <f t="shared" si="51"/>
        <v>0</v>
      </c>
      <c r="AA260" s="279">
        <f t="shared" si="52"/>
        <v>10348</v>
      </c>
      <c r="AB260" s="280">
        <f t="shared" si="53"/>
        <v>93132</v>
      </c>
      <c r="AC260" s="53">
        <f t="shared" si="54"/>
        <v>10346</v>
      </c>
      <c r="AD260" s="53">
        <f t="shared" si="55"/>
        <v>0</v>
      </c>
      <c r="AF260" s="279">
        <f t="shared" si="56"/>
        <v>3851</v>
      </c>
      <c r="AG260" s="280">
        <f t="shared" si="57"/>
        <v>34659</v>
      </c>
      <c r="AH260" s="53">
        <f t="shared" si="58"/>
        <v>3848</v>
      </c>
      <c r="AI260" s="53">
        <f t="shared" si="59"/>
        <v>0</v>
      </c>
    </row>
    <row r="261" spans="1:35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4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4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>IF(Notes!$B$2="June",'AEA Funding and Payments'!$X261,ROUND(N261/10,0))</f>
        <v>22822</v>
      </c>
      <c r="S261" s="221">
        <f>IF(Notes!$B$2="June",'AEA Funding and Payments'!$AC261,ROUND(O261/10,0))</f>
        <v>8879</v>
      </c>
      <c r="T261" s="221">
        <f t="shared" si="47"/>
        <v>31701</v>
      </c>
      <c r="U261" s="237"/>
      <c r="V261" s="279">
        <f t="shared" si="48"/>
        <v>22822</v>
      </c>
      <c r="W261" s="280">
        <f t="shared" si="49"/>
        <v>205398</v>
      </c>
      <c r="X261" s="53">
        <f t="shared" si="50"/>
        <v>22822</v>
      </c>
      <c r="Y261" s="53">
        <f t="shared" si="51"/>
        <v>0</v>
      </c>
      <c r="AA261" s="279">
        <f t="shared" si="52"/>
        <v>8882</v>
      </c>
      <c r="AB261" s="280">
        <f t="shared" si="53"/>
        <v>79938</v>
      </c>
      <c r="AC261" s="53">
        <f t="shared" si="54"/>
        <v>8879</v>
      </c>
      <c r="AD261" s="53">
        <f t="shared" si="55"/>
        <v>0</v>
      </c>
      <c r="AF261" s="279">
        <f t="shared" si="56"/>
        <v>3523</v>
      </c>
      <c r="AG261" s="280">
        <f t="shared" si="57"/>
        <v>31707</v>
      </c>
      <c r="AH261" s="53">
        <f t="shared" si="58"/>
        <v>3519</v>
      </c>
      <c r="AI261" s="53">
        <f t="shared" si="59"/>
        <v>0</v>
      </c>
    </row>
    <row r="262" spans="1:35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4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4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>IF(Notes!$B$2="June",'AEA Funding and Payments'!$X262,ROUND(N262/10,0))</f>
        <v>14099</v>
      </c>
      <c r="S262" s="221">
        <f>IF(Notes!$B$2="June",'AEA Funding and Payments'!$AC262,ROUND(O262/10,0))</f>
        <v>6001</v>
      </c>
      <c r="T262" s="221">
        <f t="shared" si="47"/>
        <v>20100</v>
      </c>
      <c r="U262" s="237"/>
      <c r="V262" s="279">
        <f t="shared" si="48"/>
        <v>14097</v>
      </c>
      <c r="W262" s="280">
        <f t="shared" si="49"/>
        <v>126873</v>
      </c>
      <c r="X262" s="53">
        <f t="shared" si="50"/>
        <v>14099</v>
      </c>
      <c r="Y262" s="53">
        <f t="shared" si="51"/>
        <v>0</v>
      </c>
      <c r="AA262" s="279">
        <f t="shared" si="52"/>
        <v>6001</v>
      </c>
      <c r="AB262" s="280">
        <f t="shared" si="53"/>
        <v>54009</v>
      </c>
      <c r="AC262" s="53">
        <f t="shared" si="54"/>
        <v>6001</v>
      </c>
      <c r="AD262" s="53">
        <f t="shared" si="55"/>
        <v>0</v>
      </c>
      <c r="AF262" s="279">
        <f t="shared" si="56"/>
        <v>2233</v>
      </c>
      <c r="AG262" s="280">
        <f t="shared" si="57"/>
        <v>20097</v>
      </c>
      <c r="AH262" s="53">
        <f t="shared" si="58"/>
        <v>2234</v>
      </c>
      <c r="AI262" s="53">
        <f t="shared" si="59"/>
        <v>0</v>
      </c>
    </row>
    <row r="263" spans="1:35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4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4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>IF(Notes!$B$2="June",'AEA Funding and Payments'!$X263,ROUND(N263/10,0))</f>
        <v>7596</v>
      </c>
      <c r="S263" s="221">
        <f>IF(Notes!$B$2="June",'AEA Funding and Payments'!$AC263,ROUND(O263/10,0))</f>
        <v>3746</v>
      </c>
      <c r="T263" s="221">
        <f t="shared" si="47"/>
        <v>11342</v>
      </c>
      <c r="U263" s="237"/>
      <c r="V263" s="279">
        <f t="shared" si="48"/>
        <v>7595</v>
      </c>
      <c r="W263" s="280">
        <f t="shared" si="49"/>
        <v>68355</v>
      </c>
      <c r="X263" s="53">
        <f t="shared" si="50"/>
        <v>7596</v>
      </c>
      <c r="Y263" s="53">
        <f t="shared" si="51"/>
        <v>0</v>
      </c>
      <c r="AA263" s="279">
        <f t="shared" si="52"/>
        <v>3742</v>
      </c>
      <c r="AB263" s="280">
        <f t="shared" si="53"/>
        <v>33678</v>
      </c>
      <c r="AC263" s="53">
        <f t="shared" si="54"/>
        <v>3746</v>
      </c>
      <c r="AD263" s="53">
        <f t="shared" si="55"/>
        <v>0</v>
      </c>
      <c r="AF263" s="279">
        <f t="shared" si="56"/>
        <v>1260</v>
      </c>
      <c r="AG263" s="280">
        <f t="shared" si="57"/>
        <v>11340</v>
      </c>
      <c r="AH263" s="53">
        <f t="shared" si="58"/>
        <v>1257</v>
      </c>
      <c r="AI263" s="53">
        <f t="shared" si="59"/>
        <v>0</v>
      </c>
    </row>
    <row r="264" spans="1:35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4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4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>IF(Notes!$B$2="June",'AEA Funding and Payments'!$X264,ROUND(N264/10,0))</f>
        <v>11583</v>
      </c>
      <c r="S264" s="221">
        <f>IF(Notes!$B$2="June",'AEA Funding and Payments'!$AC264,ROUND(O264/10,0))</f>
        <v>4337</v>
      </c>
      <c r="T264" s="221">
        <f t="shared" si="47"/>
        <v>15920</v>
      </c>
      <c r="U264" s="237"/>
      <c r="V264" s="279">
        <f t="shared" si="48"/>
        <v>11585</v>
      </c>
      <c r="W264" s="280">
        <f t="shared" si="49"/>
        <v>104265</v>
      </c>
      <c r="X264" s="53">
        <f t="shared" si="50"/>
        <v>11583</v>
      </c>
      <c r="Y264" s="53">
        <f t="shared" si="51"/>
        <v>0</v>
      </c>
      <c r="AA264" s="279">
        <f t="shared" si="52"/>
        <v>4340</v>
      </c>
      <c r="AB264" s="280">
        <f t="shared" si="53"/>
        <v>39060</v>
      </c>
      <c r="AC264" s="53">
        <f t="shared" si="54"/>
        <v>4337</v>
      </c>
      <c r="AD264" s="53">
        <f t="shared" si="55"/>
        <v>0</v>
      </c>
      <c r="AF264" s="279">
        <f t="shared" si="56"/>
        <v>1769</v>
      </c>
      <c r="AG264" s="280">
        <f t="shared" si="57"/>
        <v>15921</v>
      </c>
      <c r="AH264" s="53">
        <f t="shared" si="58"/>
        <v>1773</v>
      </c>
      <c r="AI264" s="53">
        <f t="shared" si="59"/>
        <v>0</v>
      </c>
    </row>
    <row r="265" spans="1:35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6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6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>IF(Notes!$B$2="June",'AEA Funding and Payments'!$X265,ROUND(N265/10,0))</f>
        <v>32801</v>
      </c>
      <c r="S265" s="221">
        <f>IF(Notes!$B$2="June",'AEA Funding and Payments'!$AC265,ROUND(O265/10,0))</f>
        <v>13967</v>
      </c>
      <c r="T265" s="221">
        <f t="shared" ref="T265:T328" si="62">SUM(R265:S265)</f>
        <v>46768</v>
      </c>
      <c r="U265" s="237"/>
      <c r="V265" s="279">
        <f t="shared" ref="V265:V328" si="63">ROUND(N265/10,0)</f>
        <v>32802</v>
      </c>
      <c r="W265" s="280">
        <f t="shared" ref="W265:W328" si="64">V265*9</f>
        <v>295218</v>
      </c>
      <c r="X265" s="53">
        <f t="shared" ref="X265:X328" si="65">N265-W265</f>
        <v>32801</v>
      </c>
      <c r="Y265" s="53">
        <f t="shared" ref="Y265:Y328" si="66">W265+X265-N265</f>
        <v>0</v>
      </c>
      <c r="AA265" s="279">
        <f t="shared" ref="AA265:AA328" si="67">ROUND(O265/10,0)</f>
        <v>13963</v>
      </c>
      <c r="AB265" s="280">
        <f t="shared" ref="AB265:AB328" si="68">AA265*9</f>
        <v>125667</v>
      </c>
      <c r="AC265" s="53">
        <f t="shared" ref="AC265:AC328" si="69">O265-AB265</f>
        <v>13967</v>
      </c>
      <c r="AD265" s="53">
        <f t="shared" ref="AD265:AD328" si="70">AB265+AC265-O265</f>
        <v>0</v>
      </c>
      <c r="AF265" s="279">
        <f t="shared" ref="AF265:AF328" si="71">ROUND(L265/10,0)</f>
        <v>5196</v>
      </c>
      <c r="AG265" s="280">
        <f t="shared" ref="AG265:AG328" si="72">AF265*9</f>
        <v>46764</v>
      </c>
      <c r="AH265" s="53">
        <f t="shared" ref="AH265:AH328" si="73">L265-AG265</f>
        <v>5198</v>
      </c>
      <c r="AI265" s="53">
        <f t="shared" ref="AI265:AI328" si="74">AG265+AH265-L265</f>
        <v>0</v>
      </c>
    </row>
    <row r="266" spans="1:35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6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6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>IF(Notes!$B$2="June",'AEA Funding and Payments'!$X266,ROUND(N266/10,0))</f>
        <v>316555</v>
      </c>
      <c r="S266" s="221">
        <f>IF(Notes!$B$2="June",'AEA Funding and Payments'!$AC266,ROUND(O266/10,0))</f>
        <v>134757</v>
      </c>
      <c r="T266" s="221">
        <f t="shared" si="62"/>
        <v>451312</v>
      </c>
      <c r="U266" s="237"/>
      <c r="V266" s="279">
        <f t="shared" si="63"/>
        <v>316555</v>
      </c>
      <c r="W266" s="280">
        <f t="shared" si="64"/>
        <v>2848995</v>
      </c>
      <c r="X266" s="53">
        <f t="shared" si="65"/>
        <v>316555</v>
      </c>
      <c r="Y266" s="53">
        <f t="shared" si="66"/>
        <v>0</v>
      </c>
      <c r="AA266" s="279">
        <f t="shared" si="67"/>
        <v>134753</v>
      </c>
      <c r="AB266" s="280">
        <f t="shared" si="68"/>
        <v>1212777</v>
      </c>
      <c r="AC266" s="53">
        <f t="shared" si="69"/>
        <v>134757</v>
      </c>
      <c r="AD266" s="53">
        <f t="shared" si="70"/>
        <v>0</v>
      </c>
      <c r="AF266" s="279">
        <f t="shared" si="71"/>
        <v>50145</v>
      </c>
      <c r="AG266" s="280">
        <f t="shared" si="72"/>
        <v>451305</v>
      </c>
      <c r="AH266" s="53">
        <f t="shared" si="73"/>
        <v>50149</v>
      </c>
      <c r="AI266" s="53">
        <f t="shared" si="74"/>
        <v>0</v>
      </c>
    </row>
    <row r="267" spans="1:35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6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6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>IF(Notes!$B$2="June",'AEA Funding and Payments'!$X267,ROUND(N267/10,0))</f>
        <v>8903</v>
      </c>
      <c r="S267" s="221">
        <f>IF(Notes!$B$2="June",'AEA Funding and Payments'!$AC267,ROUND(O267/10,0))</f>
        <v>4257</v>
      </c>
      <c r="T267" s="221">
        <f t="shared" si="62"/>
        <v>13160</v>
      </c>
      <c r="U267" s="237"/>
      <c r="V267" s="279">
        <f t="shared" si="63"/>
        <v>8907</v>
      </c>
      <c r="W267" s="280">
        <f t="shared" si="64"/>
        <v>80163</v>
      </c>
      <c r="X267" s="53">
        <f t="shared" si="65"/>
        <v>8903</v>
      </c>
      <c r="Y267" s="53">
        <f t="shared" si="66"/>
        <v>0</v>
      </c>
      <c r="AA267" s="279">
        <f t="shared" si="67"/>
        <v>4262</v>
      </c>
      <c r="AB267" s="280">
        <f t="shared" si="68"/>
        <v>38358</v>
      </c>
      <c r="AC267" s="53">
        <f t="shared" si="69"/>
        <v>4257</v>
      </c>
      <c r="AD267" s="53">
        <f t="shared" si="70"/>
        <v>0</v>
      </c>
      <c r="AF267" s="279">
        <f t="shared" si="71"/>
        <v>1463</v>
      </c>
      <c r="AG267" s="280">
        <f t="shared" si="72"/>
        <v>13167</v>
      </c>
      <c r="AH267" s="53">
        <f t="shared" si="73"/>
        <v>1464</v>
      </c>
      <c r="AI267" s="53">
        <f t="shared" si="74"/>
        <v>0</v>
      </c>
    </row>
    <row r="268" spans="1:35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6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6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>IF(Notes!$B$2="June",'AEA Funding and Payments'!$X268,ROUND(N268/10,0))</f>
        <v>18792</v>
      </c>
      <c r="S268" s="221">
        <f>IF(Notes!$B$2="June",'AEA Funding and Payments'!$AC268,ROUND(O268/10,0))</f>
        <v>8539</v>
      </c>
      <c r="T268" s="221">
        <f t="shared" si="62"/>
        <v>27331</v>
      </c>
      <c r="U268" s="237"/>
      <c r="V268" s="279">
        <f t="shared" si="63"/>
        <v>18796</v>
      </c>
      <c r="W268" s="280">
        <f t="shared" si="64"/>
        <v>169164</v>
      </c>
      <c r="X268" s="53">
        <f t="shared" si="65"/>
        <v>18792</v>
      </c>
      <c r="Y268" s="53">
        <f t="shared" si="66"/>
        <v>0</v>
      </c>
      <c r="AA268" s="279">
        <f t="shared" si="67"/>
        <v>8540</v>
      </c>
      <c r="AB268" s="280">
        <f t="shared" si="68"/>
        <v>76860</v>
      </c>
      <c r="AC268" s="53">
        <f t="shared" si="69"/>
        <v>8539</v>
      </c>
      <c r="AD268" s="53">
        <f t="shared" si="70"/>
        <v>0</v>
      </c>
      <c r="AF268" s="279">
        <f t="shared" si="71"/>
        <v>3037</v>
      </c>
      <c r="AG268" s="280">
        <f t="shared" si="72"/>
        <v>27333</v>
      </c>
      <c r="AH268" s="53">
        <f t="shared" si="73"/>
        <v>3040</v>
      </c>
      <c r="AI268" s="53">
        <f t="shared" si="74"/>
        <v>0</v>
      </c>
    </row>
    <row r="269" spans="1:35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6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6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>IF(Notes!$B$2="June",'AEA Funding and Payments'!$X269,ROUND(N269/10,0))</f>
        <v>28856</v>
      </c>
      <c r="S269" s="221">
        <f>IF(Notes!$B$2="June",'AEA Funding and Payments'!$AC269,ROUND(O269/10,0))</f>
        <v>11076</v>
      </c>
      <c r="T269" s="221">
        <f t="shared" si="62"/>
        <v>39932</v>
      </c>
      <c r="U269" s="237"/>
      <c r="V269" s="279">
        <f t="shared" si="63"/>
        <v>28861</v>
      </c>
      <c r="W269" s="280">
        <f t="shared" si="64"/>
        <v>259749</v>
      </c>
      <c r="X269" s="53">
        <f t="shared" si="65"/>
        <v>28856</v>
      </c>
      <c r="Y269" s="53">
        <f t="shared" si="66"/>
        <v>0</v>
      </c>
      <c r="AA269" s="279">
        <f t="shared" si="67"/>
        <v>11079</v>
      </c>
      <c r="AB269" s="280">
        <f t="shared" si="68"/>
        <v>99711</v>
      </c>
      <c r="AC269" s="53">
        <f t="shared" si="69"/>
        <v>11076</v>
      </c>
      <c r="AD269" s="53">
        <f t="shared" si="70"/>
        <v>0</v>
      </c>
      <c r="AF269" s="279">
        <f t="shared" si="71"/>
        <v>4438</v>
      </c>
      <c r="AG269" s="280">
        <f t="shared" si="72"/>
        <v>39942</v>
      </c>
      <c r="AH269" s="53">
        <f t="shared" si="73"/>
        <v>4435</v>
      </c>
      <c r="AI269" s="53">
        <f t="shared" si="74"/>
        <v>0</v>
      </c>
    </row>
    <row r="270" spans="1:35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6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6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>IF(Notes!$B$2="June",'AEA Funding and Payments'!$X270,ROUND(N270/10,0))</f>
        <v>10094</v>
      </c>
      <c r="S270" s="221">
        <f>IF(Notes!$B$2="June",'AEA Funding and Payments'!$AC270,ROUND(O270/10,0))</f>
        <v>4189</v>
      </c>
      <c r="T270" s="221">
        <f t="shared" si="62"/>
        <v>14283</v>
      </c>
      <c r="U270" s="237"/>
      <c r="V270" s="279">
        <f t="shared" si="63"/>
        <v>10097</v>
      </c>
      <c r="W270" s="280">
        <f t="shared" si="64"/>
        <v>90873</v>
      </c>
      <c r="X270" s="53">
        <f t="shared" si="65"/>
        <v>10094</v>
      </c>
      <c r="Y270" s="53">
        <f t="shared" si="66"/>
        <v>0</v>
      </c>
      <c r="AA270" s="279">
        <f t="shared" si="67"/>
        <v>4187</v>
      </c>
      <c r="AB270" s="280">
        <f t="shared" si="68"/>
        <v>37683</v>
      </c>
      <c r="AC270" s="53">
        <f t="shared" si="69"/>
        <v>4189</v>
      </c>
      <c r="AD270" s="53">
        <f t="shared" si="70"/>
        <v>0</v>
      </c>
      <c r="AF270" s="279">
        <f t="shared" si="71"/>
        <v>1587</v>
      </c>
      <c r="AG270" s="280">
        <f t="shared" si="72"/>
        <v>14283</v>
      </c>
      <c r="AH270" s="53">
        <f t="shared" si="73"/>
        <v>1588</v>
      </c>
      <c r="AI270" s="53">
        <f t="shared" si="74"/>
        <v>0</v>
      </c>
    </row>
    <row r="271" spans="1:35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6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6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>IF(Notes!$B$2="June",'AEA Funding and Payments'!$X271,ROUND(N271/10,0))</f>
        <v>12594</v>
      </c>
      <c r="S271" s="221">
        <f>IF(Notes!$B$2="June",'AEA Funding and Payments'!$AC271,ROUND(O271/10,0))</f>
        <v>5598</v>
      </c>
      <c r="T271" s="221">
        <f t="shared" si="62"/>
        <v>18192</v>
      </c>
      <c r="U271" s="237"/>
      <c r="V271" s="279">
        <f t="shared" si="63"/>
        <v>12592</v>
      </c>
      <c r="W271" s="280">
        <f t="shared" si="64"/>
        <v>113328</v>
      </c>
      <c r="X271" s="53">
        <f t="shared" si="65"/>
        <v>12594</v>
      </c>
      <c r="Y271" s="53">
        <f t="shared" si="66"/>
        <v>0</v>
      </c>
      <c r="AA271" s="279">
        <f t="shared" si="67"/>
        <v>5597</v>
      </c>
      <c r="AB271" s="280">
        <f t="shared" si="68"/>
        <v>50373</v>
      </c>
      <c r="AC271" s="53">
        <f t="shared" si="69"/>
        <v>5598</v>
      </c>
      <c r="AD271" s="53">
        <f t="shared" si="70"/>
        <v>0</v>
      </c>
      <c r="AF271" s="279">
        <f t="shared" si="71"/>
        <v>2021</v>
      </c>
      <c r="AG271" s="280">
        <f t="shared" si="72"/>
        <v>18189</v>
      </c>
      <c r="AH271" s="53">
        <f t="shared" si="73"/>
        <v>2021</v>
      </c>
      <c r="AI271" s="53">
        <f t="shared" si="74"/>
        <v>0</v>
      </c>
    </row>
    <row r="272" spans="1:35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6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6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>IF(Notes!$B$2="June",'AEA Funding and Payments'!$X272,ROUND(N272/10,0))</f>
        <v>22954</v>
      </c>
      <c r="S272" s="221">
        <f>IF(Notes!$B$2="June",'AEA Funding and Payments'!$AC272,ROUND(O272/10,0))</f>
        <v>10203</v>
      </c>
      <c r="T272" s="221">
        <f t="shared" si="62"/>
        <v>33157</v>
      </c>
      <c r="U272" s="237"/>
      <c r="V272" s="279">
        <f t="shared" si="63"/>
        <v>22959</v>
      </c>
      <c r="W272" s="280">
        <f t="shared" si="64"/>
        <v>206631</v>
      </c>
      <c r="X272" s="53">
        <f t="shared" si="65"/>
        <v>22954</v>
      </c>
      <c r="Y272" s="53">
        <f t="shared" si="66"/>
        <v>0</v>
      </c>
      <c r="AA272" s="279">
        <f t="shared" si="67"/>
        <v>10205</v>
      </c>
      <c r="AB272" s="280">
        <f t="shared" si="68"/>
        <v>91845</v>
      </c>
      <c r="AC272" s="53">
        <f t="shared" si="69"/>
        <v>10203</v>
      </c>
      <c r="AD272" s="53">
        <f t="shared" si="70"/>
        <v>0</v>
      </c>
      <c r="AF272" s="279">
        <f t="shared" si="71"/>
        <v>3685</v>
      </c>
      <c r="AG272" s="280">
        <f t="shared" si="72"/>
        <v>33165</v>
      </c>
      <c r="AH272" s="53">
        <f t="shared" si="73"/>
        <v>3683</v>
      </c>
      <c r="AI272" s="53">
        <f t="shared" si="74"/>
        <v>0</v>
      </c>
    </row>
    <row r="273" spans="1:35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6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6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>IF(Notes!$B$2="June",'AEA Funding and Payments'!$X273,ROUND(N273/10,0))</f>
        <v>3928</v>
      </c>
      <c r="S273" s="221">
        <f>IF(Notes!$B$2="June",'AEA Funding and Payments'!$AC273,ROUND(O273/10,0))</f>
        <v>2116</v>
      </c>
      <c r="T273" s="221">
        <f t="shared" si="62"/>
        <v>6044</v>
      </c>
      <c r="U273" s="237"/>
      <c r="V273" s="279">
        <f t="shared" si="63"/>
        <v>3933</v>
      </c>
      <c r="W273" s="280">
        <f t="shared" si="64"/>
        <v>35397</v>
      </c>
      <c r="X273" s="53">
        <f t="shared" si="65"/>
        <v>3928</v>
      </c>
      <c r="Y273" s="53">
        <f t="shared" si="66"/>
        <v>0</v>
      </c>
      <c r="AA273" s="279">
        <f t="shared" si="67"/>
        <v>2118</v>
      </c>
      <c r="AB273" s="280">
        <f t="shared" si="68"/>
        <v>19062</v>
      </c>
      <c r="AC273" s="53">
        <f t="shared" si="69"/>
        <v>2116</v>
      </c>
      <c r="AD273" s="53">
        <f t="shared" si="70"/>
        <v>0</v>
      </c>
      <c r="AF273" s="279">
        <f t="shared" si="71"/>
        <v>672</v>
      </c>
      <c r="AG273" s="280">
        <f t="shared" si="72"/>
        <v>6048</v>
      </c>
      <c r="AH273" s="53">
        <f t="shared" si="73"/>
        <v>675</v>
      </c>
      <c r="AI273" s="53">
        <f t="shared" si="74"/>
        <v>0</v>
      </c>
    </row>
    <row r="274" spans="1:35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6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6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>IF(Notes!$B$2="June",'AEA Funding and Payments'!$X274,ROUND(N274/10,0))</f>
        <v>29587</v>
      </c>
      <c r="S274" s="221">
        <f>IF(Notes!$B$2="June",'AEA Funding and Payments'!$AC274,ROUND(O274/10,0))</f>
        <v>12944</v>
      </c>
      <c r="T274" s="221">
        <f t="shared" si="62"/>
        <v>42531</v>
      </c>
      <c r="U274" s="237"/>
      <c r="V274" s="279">
        <f t="shared" si="63"/>
        <v>29592</v>
      </c>
      <c r="W274" s="280">
        <f t="shared" si="64"/>
        <v>266328</v>
      </c>
      <c r="X274" s="53">
        <f t="shared" si="65"/>
        <v>29587</v>
      </c>
      <c r="Y274" s="53">
        <f t="shared" si="66"/>
        <v>0</v>
      </c>
      <c r="AA274" s="279">
        <f t="shared" si="67"/>
        <v>12948</v>
      </c>
      <c r="AB274" s="280">
        <f t="shared" si="68"/>
        <v>116532</v>
      </c>
      <c r="AC274" s="53">
        <f t="shared" si="69"/>
        <v>12944</v>
      </c>
      <c r="AD274" s="53">
        <f t="shared" si="70"/>
        <v>0</v>
      </c>
      <c r="AF274" s="279">
        <f t="shared" si="71"/>
        <v>4727</v>
      </c>
      <c r="AG274" s="280">
        <f t="shared" si="72"/>
        <v>42543</v>
      </c>
      <c r="AH274" s="53">
        <f t="shared" si="73"/>
        <v>4723</v>
      </c>
      <c r="AI274" s="53">
        <f t="shared" si="74"/>
        <v>0</v>
      </c>
    </row>
    <row r="275" spans="1:35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6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6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>IF(Notes!$B$2="June",'AEA Funding and Payments'!$X275,ROUND(N275/10,0))</f>
        <v>11926</v>
      </c>
      <c r="S275" s="221">
        <f>IF(Notes!$B$2="June",'AEA Funding and Payments'!$AC275,ROUND(O275/10,0))</f>
        <v>5584</v>
      </c>
      <c r="T275" s="221">
        <f t="shared" si="62"/>
        <v>17510</v>
      </c>
      <c r="U275" s="237"/>
      <c r="V275" s="279">
        <f t="shared" si="63"/>
        <v>11922</v>
      </c>
      <c r="W275" s="280">
        <f t="shared" si="64"/>
        <v>107298</v>
      </c>
      <c r="X275" s="53">
        <f t="shared" si="65"/>
        <v>11926</v>
      </c>
      <c r="Y275" s="53">
        <f t="shared" si="66"/>
        <v>0</v>
      </c>
      <c r="AA275" s="279">
        <f t="shared" si="67"/>
        <v>5583</v>
      </c>
      <c r="AB275" s="280">
        <f t="shared" si="68"/>
        <v>50247</v>
      </c>
      <c r="AC275" s="53">
        <f t="shared" si="69"/>
        <v>5584</v>
      </c>
      <c r="AD275" s="53">
        <f t="shared" si="70"/>
        <v>0</v>
      </c>
      <c r="AF275" s="279">
        <f t="shared" si="71"/>
        <v>1945</v>
      </c>
      <c r="AG275" s="280">
        <f t="shared" si="72"/>
        <v>17505</v>
      </c>
      <c r="AH275" s="53">
        <f t="shared" si="73"/>
        <v>1946</v>
      </c>
      <c r="AI275" s="53">
        <f t="shared" si="74"/>
        <v>0</v>
      </c>
    </row>
    <row r="276" spans="1:35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6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6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>IF(Notes!$B$2="June",'AEA Funding and Payments'!$X276,ROUND(N276/10,0))</f>
        <v>157557</v>
      </c>
      <c r="S276" s="221">
        <f>IF(Notes!$B$2="June",'AEA Funding and Payments'!$AC276,ROUND(O276/10,0))</f>
        <v>54328</v>
      </c>
      <c r="T276" s="221">
        <f t="shared" si="62"/>
        <v>211885</v>
      </c>
      <c r="U276" s="237"/>
      <c r="V276" s="279">
        <f t="shared" si="63"/>
        <v>157560</v>
      </c>
      <c r="W276" s="280">
        <f t="shared" si="64"/>
        <v>1418040</v>
      </c>
      <c r="X276" s="53">
        <f t="shared" si="65"/>
        <v>157557</v>
      </c>
      <c r="Y276" s="53">
        <f t="shared" si="66"/>
        <v>0</v>
      </c>
      <c r="AA276" s="279">
        <f t="shared" si="67"/>
        <v>54326</v>
      </c>
      <c r="AB276" s="280">
        <f t="shared" si="68"/>
        <v>488934</v>
      </c>
      <c r="AC276" s="53">
        <f t="shared" si="69"/>
        <v>54328</v>
      </c>
      <c r="AD276" s="53">
        <f t="shared" si="70"/>
        <v>0</v>
      </c>
      <c r="AF276" s="279">
        <f t="shared" si="71"/>
        <v>23543</v>
      </c>
      <c r="AG276" s="280">
        <f t="shared" si="72"/>
        <v>211887</v>
      </c>
      <c r="AH276" s="53">
        <f t="shared" si="73"/>
        <v>23542</v>
      </c>
      <c r="AI276" s="53">
        <f t="shared" si="74"/>
        <v>0</v>
      </c>
    </row>
    <row r="277" spans="1:35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6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6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>IF(Notes!$B$2="June",'AEA Funding and Payments'!$X277,ROUND(N277/10,0))</f>
        <v>42378</v>
      </c>
      <c r="S277" s="221">
        <f>IF(Notes!$B$2="June",'AEA Funding and Payments'!$AC277,ROUND(O277/10,0))</f>
        <v>20949</v>
      </c>
      <c r="T277" s="221">
        <f t="shared" si="62"/>
        <v>63327</v>
      </c>
      <c r="U277" s="237"/>
      <c r="V277" s="279">
        <f t="shared" si="63"/>
        <v>42382</v>
      </c>
      <c r="W277" s="280">
        <f t="shared" si="64"/>
        <v>381438</v>
      </c>
      <c r="X277" s="53">
        <f t="shared" si="65"/>
        <v>42378</v>
      </c>
      <c r="Y277" s="53">
        <f t="shared" si="66"/>
        <v>0</v>
      </c>
      <c r="AA277" s="279">
        <f t="shared" si="67"/>
        <v>20954</v>
      </c>
      <c r="AB277" s="280">
        <f t="shared" si="68"/>
        <v>188586</v>
      </c>
      <c r="AC277" s="53">
        <f t="shared" si="69"/>
        <v>20949</v>
      </c>
      <c r="AD277" s="53">
        <f t="shared" si="70"/>
        <v>0</v>
      </c>
      <c r="AF277" s="279">
        <f t="shared" si="71"/>
        <v>7037</v>
      </c>
      <c r="AG277" s="280">
        <f t="shared" si="72"/>
        <v>63333</v>
      </c>
      <c r="AH277" s="53">
        <f t="shared" si="73"/>
        <v>7039</v>
      </c>
      <c r="AI277" s="53">
        <f t="shared" si="74"/>
        <v>0</v>
      </c>
    </row>
    <row r="278" spans="1:35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6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6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>IF(Notes!$B$2="June",'AEA Funding and Payments'!$X278,ROUND(N278/10,0))</f>
        <v>23793</v>
      </c>
      <c r="S278" s="221">
        <f>IF(Notes!$B$2="June",'AEA Funding and Payments'!$AC278,ROUND(O278/10,0))</f>
        <v>10576</v>
      </c>
      <c r="T278" s="221">
        <f t="shared" si="62"/>
        <v>34369</v>
      </c>
      <c r="U278" s="237"/>
      <c r="V278" s="279">
        <f t="shared" si="63"/>
        <v>23796</v>
      </c>
      <c r="W278" s="280">
        <f t="shared" si="64"/>
        <v>214164</v>
      </c>
      <c r="X278" s="53">
        <f t="shared" si="65"/>
        <v>23793</v>
      </c>
      <c r="Y278" s="53">
        <f t="shared" si="66"/>
        <v>0</v>
      </c>
      <c r="AA278" s="279">
        <f t="shared" si="67"/>
        <v>10577</v>
      </c>
      <c r="AB278" s="280">
        <f t="shared" si="68"/>
        <v>95193</v>
      </c>
      <c r="AC278" s="53">
        <f t="shared" si="69"/>
        <v>10576</v>
      </c>
      <c r="AD278" s="53">
        <f t="shared" si="70"/>
        <v>0</v>
      </c>
      <c r="AF278" s="279">
        <f t="shared" si="71"/>
        <v>3819</v>
      </c>
      <c r="AG278" s="280">
        <f t="shared" si="72"/>
        <v>34371</v>
      </c>
      <c r="AH278" s="53">
        <f t="shared" si="73"/>
        <v>3821</v>
      </c>
      <c r="AI278" s="53">
        <f t="shared" si="74"/>
        <v>0</v>
      </c>
    </row>
    <row r="279" spans="1:35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6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6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>IF(Notes!$B$2="June",'AEA Funding and Payments'!$X279,ROUND(N279/10,0))</f>
        <v>8255</v>
      </c>
      <c r="S279" s="221">
        <f>IF(Notes!$B$2="June",'AEA Funding and Payments'!$AC279,ROUND(O279/10,0))</f>
        <v>3167</v>
      </c>
      <c r="T279" s="221">
        <f t="shared" si="62"/>
        <v>11422</v>
      </c>
      <c r="U279" s="237"/>
      <c r="V279" s="279">
        <f t="shared" si="63"/>
        <v>8260</v>
      </c>
      <c r="W279" s="280">
        <f t="shared" si="64"/>
        <v>74340</v>
      </c>
      <c r="X279" s="53">
        <f t="shared" si="65"/>
        <v>8255</v>
      </c>
      <c r="Y279" s="53">
        <f t="shared" si="66"/>
        <v>0</v>
      </c>
      <c r="AA279" s="279">
        <f t="shared" si="67"/>
        <v>3171</v>
      </c>
      <c r="AB279" s="280">
        <f t="shared" si="68"/>
        <v>28539</v>
      </c>
      <c r="AC279" s="53">
        <f t="shared" si="69"/>
        <v>3167</v>
      </c>
      <c r="AD279" s="53">
        <f t="shared" si="70"/>
        <v>0</v>
      </c>
      <c r="AF279" s="279">
        <f t="shared" si="71"/>
        <v>1270</v>
      </c>
      <c r="AG279" s="280">
        <f t="shared" si="72"/>
        <v>11430</v>
      </c>
      <c r="AH279" s="53">
        <f t="shared" si="73"/>
        <v>1270</v>
      </c>
      <c r="AI279" s="53">
        <f t="shared" si="74"/>
        <v>0</v>
      </c>
    </row>
    <row r="280" spans="1:35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6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6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>IF(Notes!$B$2="June",'AEA Funding and Payments'!$X280,ROUND(N280/10,0))</f>
        <v>4226</v>
      </c>
      <c r="S280" s="221">
        <f>IF(Notes!$B$2="June",'AEA Funding and Payments'!$AC280,ROUND(O280/10,0))</f>
        <v>1643</v>
      </c>
      <c r="T280" s="221">
        <f t="shared" si="62"/>
        <v>5869</v>
      </c>
      <c r="U280" s="237"/>
      <c r="V280" s="279">
        <f t="shared" si="63"/>
        <v>4229</v>
      </c>
      <c r="W280" s="280">
        <f t="shared" si="64"/>
        <v>38061</v>
      </c>
      <c r="X280" s="53">
        <f t="shared" si="65"/>
        <v>4226</v>
      </c>
      <c r="Y280" s="53">
        <f t="shared" si="66"/>
        <v>0</v>
      </c>
      <c r="AA280" s="279">
        <f t="shared" si="67"/>
        <v>1646</v>
      </c>
      <c r="AB280" s="280">
        <f t="shared" si="68"/>
        <v>14814</v>
      </c>
      <c r="AC280" s="53">
        <f t="shared" si="69"/>
        <v>1643</v>
      </c>
      <c r="AD280" s="53">
        <f t="shared" si="70"/>
        <v>0</v>
      </c>
      <c r="AF280" s="279">
        <f t="shared" si="71"/>
        <v>653</v>
      </c>
      <c r="AG280" s="280">
        <f t="shared" si="72"/>
        <v>5877</v>
      </c>
      <c r="AH280" s="53">
        <f t="shared" si="73"/>
        <v>650</v>
      </c>
      <c r="AI280" s="53">
        <f t="shared" si="74"/>
        <v>0</v>
      </c>
    </row>
    <row r="281" spans="1:35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6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6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>IF(Notes!$B$2="June",'AEA Funding and Payments'!$X281,ROUND(N281/10,0))</f>
        <v>11937</v>
      </c>
      <c r="S281" s="221">
        <f>IF(Notes!$B$2="June",'AEA Funding and Payments'!$AC281,ROUND(O281/10,0))</f>
        <v>6399</v>
      </c>
      <c r="T281" s="221">
        <f t="shared" si="62"/>
        <v>18336</v>
      </c>
      <c r="U281" s="237"/>
      <c r="V281" s="279">
        <f t="shared" si="63"/>
        <v>11942</v>
      </c>
      <c r="W281" s="280">
        <f t="shared" si="64"/>
        <v>107478</v>
      </c>
      <c r="X281" s="53">
        <f t="shared" si="65"/>
        <v>11937</v>
      </c>
      <c r="Y281" s="53">
        <f t="shared" si="66"/>
        <v>0</v>
      </c>
      <c r="AA281" s="279">
        <f t="shared" si="67"/>
        <v>6404</v>
      </c>
      <c r="AB281" s="280">
        <f t="shared" si="68"/>
        <v>57636</v>
      </c>
      <c r="AC281" s="53">
        <f t="shared" si="69"/>
        <v>6399</v>
      </c>
      <c r="AD281" s="53">
        <f t="shared" si="70"/>
        <v>0</v>
      </c>
      <c r="AF281" s="279">
        <f t="shared" si="71"/>
        <v>2038</v>
      </c>
      <c r="AG281" s="280">
        <f t="shared" si="72"/>
        <v>18342</v>
      </c>
      <c r="AH281" s="53">
        <f t="shared" si="73"/>
        <v>2041</v>
      </c>
      <c r="AI281" s="53">
        <f t="shared" si="74"/>
        <v>0</v>
      </c>
    </row>
    <row r="282" spans="1:35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6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6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>IF(Notes!$B$2="June",'AEA Funding and Payments'!$X282,ROUND(N282/10,0))</f>
        <v>56707</v>
      </c>
      <c r="S282" s="221">
        <f>IF(Notes!$B$2="June",'AEA Funding and Payments'!$AC282,ROUND(O282/10,0))</f>
        <v>25206</v>
      </c>
      <c r="T282" s="221">
        <f t="shared" si="62"/>
        <v>81913</v>
      </c>
      <c r="U282" s="237"/>
      <c r="V282" s="279">
        <f t="shared" si="63"/>
        <v>56706</v>
      </c>
      <c r="W282" s="280">
        <f t="shared" si="64"/>
        <v>510354</v>
      </c>
      <c r="X282" s="53">
        <f t="shared" si="65"/>
        <v>56707</v>
      </c>
      <c r="Y282" s="53">
        <f t="shared" si="66"/>
        <v>0</v>
      </c>
      <c r="AA282" s="279">
        <f t="shared" si="67"/>
        <v>25205</v>
      </c>
      <c r="AB282" s="280">
        <f t="shared" si="68"/>
        <v>226845</v>
      </c>
      <c r="AC282" s="53">
        <f t="shared" si="69"/>
        <v>25206</v>
      </c>
      <c r="AD282" s="53">
        <f t="shared" si="70"/>
        <v>0</v>
      </c>
      <c r="AF282" s="279">
        <f t="shared" si="71"/>
        <v>9101</v>
      </c>
      <c r="AG282" s="280">
        <f t="shared" si="72"/>
        <v>81909</v>
      </c>
      <c r="AH282" s="53">
        <f t="shared" si="73"/>
        <v>9103</v>
      </c>
      <c r="AI282" s="53">
        <f t="shared" si="74"/>
        <v>0</v>
      </c>
    </row>
    <row r="283" spans="1:35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6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6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>IF(Notes!$B$2="June",'AEA Funding and Payments'!$X283,ROUND(N283/10,0))</f>
        <v>2866</v>
      </c>
      <c r="S283" s="221">
        <f>IF(Notes!$B$2="June",'AEA Funding and Payments'!$AC283,ROUND(O283/10,0))</f>
        <v>2016</v>
      </c>
      <c r="T283" s="221">
        <f t="shared" si="62"/>
        <v>4882</v>
      </c>
      <c r="U283" s="237"/>
      <c r="V283" s="279">
        <f t="shared" si="63"/>
        <v>2865</v>
      </c>
      <c r="W283" s="280">
        <f t="shared" si="64"/>
        <v>25785</v>
      </c>
      <c r="X283" s="53">
        <f t="shared" si="65"/>
        <v>2866</v>
      </c>
      <c r="Y283" s="53">
        <f t="shared" si="66"/>
        <v>0</v>
      </c>
      <c r="AA283" s="279">
        <f t="shared" si="67"/>
        <v>2015</v>
      </c>
      <c r="AB283" s="280">
        <f t="shared" si="68"/>
        <v>18135</v>
      </c>
      <c r="AC283" s="53">
        <f t="shared" si="69"/>
        <v>2016</v>
      </c>
      <c r="AD283" s="53">
        <f t="shared" si="70"/>
        <v>0</v>
      </c>
      <c r="AF283" s="279">
        <f t="shared" si="71"/>
        <v>542</v>
      </c>
      <c r="AG283" s="280">
        <f t="shared" si="72"/>
        <v>4878</v>
      </c>
      <c r="AH283" s="53">
        <f t="shared" si="73"/>
        <v>544</v>
      </c>
      <c r="AI283" s="53">
        <f t="shared" si="74"/>
        <v>0</v>
      </c>
    </row>
    <row r="284" spans="1:35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6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6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>IF(Notes!$B$2="June",'AEA Funding and Payments'!$X284,ROUND(N284/10,0))</f>
        <v>20726</v>
      </c>
      <c r="S284" s="221">
        <f>IF(Notes!$B$2="June",'AEA Funding and Payments'!$AC284,ROUND(O284/10,0))</f>
        <v>7148</v>
      </c>
      <c r="T284" s="221">
        <f t="shared" si="62"/>
        <v>27874</v>
      </c>
      <c r="U284" s="237"/>
      <c r="V284" s="279">
        <f t="shared" si="63"/>
        <v>20729</v>
      </c>
      <c r="W284" s="280">
        <f t="shared" si="64"/>
        <v>186561</v>
      </c>
      <c r="X284" s="53">
        <f t="shared" si="65"/>
        <v>20726</v>
      </c>
      <c r="Y284" s="53">
        <f t="shared" si="66"/>
        <v>0</v>
      </c>
      <c r="AA284" s="279">
        <f t="shared" si="67"/>
        <v>7147</v>
      </c>
      <c r="AB284" s="280">
        <f t="shared" si="68"/>
        <v>64323</v>
      </c>
      <c r="AC284" s="53">
        <f t="shared" si="69"/>
        <v>7148</v>
      </c>
      <c r="AD284" s="53">
        <f t="shared" si="70"/>
        <v>0</v>
      </c>
      <c r="AF284" s="279">
        <f t="shared" si="71"/>
        <v>3097</v>
      </c>
      <c r="AG284" s="280">
        <f t="shared" si="72"/>
        <v>27873</v>
      </c>
      <c r="AH284" s="53">
        <f t="shared" si="73"/>
        <v>3100</v>
      </c>
      <c r="AI284" s="53">
        <f t="shared" si="74"/>
        <v>0</v>
      </c>
    </row>
    <row r="285" spans="1:35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6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6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>IF(Notes!$B$2="June",'AEA Funding and Payments'!$X285,ROUND(N285/10,0))</f>
        <v>16708</v>
      </c>
      <c r="S285" s="221">
        <f>IF(Notes!$B$2="June",'AEA Funding and Payments'!$AC285,ROUND(O285/10,0))</f>
        <v>6874</v>
      </c>
      <c r="T285" s="221">
        <f t="shared" si="62"/>
        <v>23582</v>
      </c>
      <c r="U285" s="237"/>
      <c r="V285" s="279">
        <f t="shared" si="63"/>
        <v>16708</v>
      </c>
      <c r="W285" s="280">
        <f t="shared" si="64"/>
        <v>150372</v>
      </c>
      <c r="X285" s="53">
        <f t="shared" si="65"/>
        <v>16708</v>
      </c>
      <c r="Y285" s="53">
        <f t="shared" si="66"/>
        <v>0</v>
      </c>
      <c r="AA285" s="279">
        <f t="shared" si="67"/>
        <v>6876</v>
      </c>
      <c r="AB285" s="280">
        <f t="shared" si="68"/>
        <v>61884</v>
      </c>
      <c r="AC285" s="53">
        <f t="shared" si="69"/>
        <v>6874</v>
      </c>
      <c r="AD285" s="53">
        <f t="shared" si="70"/>
        <v>0</v>
      </c>
      <c r="AF285" s="279">
        <f t="shared" si="71"/>
        <v>2620</v>
      </c>
      <c r="AG285" s="280">
        <f t="shared" si="72"/>
        <v>23580</v>
      </c>
      <c r="AH285" s="53">
        <f t="shared" si="73"/>
        <v>2624</v>
      </c>
      <c r="AI285" s="53">
        <f t="shared" si="74"/>
        <v>0</v>
      </c>
    </row>
    <row r="286" spans="1:35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6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6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>IF(Notes!$B$2="June",'AEA Funding and Payments'!$X286,ROUND(N286/10,0))</f>
        <v>16097</v>
      </c>
      <c r="S286" s="221">
        <f>IF(Notes!$B$2="June",'AEA Funding and Payments'!$AC286,ROUND(O286/10,0))</f>
        <v>8101</v>
      </c>
      <c r="T286" s="221">
        <f t="shared" si="62"/>
        <v>24198</v>
      </c>
      <c r="U286" s="237"/>
      <c r="V286" s="279">
        <f t="shared" si="63"/>
        <v>16095</v>
      </c>
      <c r="W286" s="280">
        <f t="shared" si="64"/>
        <v>144855</v>
      </c>
      <c r="X286" s="53">
        <f t="shared" si="65"/>
        <v>16097</v>
      </c>
      <c r="Y286" s="53">
        <f t="shared" si="66"/>
        <v>0</v>
      </c>
      <c r="AA286" s="279">
        <f t="shared" si="67"/>
        <v>8100</v>
      </c>
      <c r="AB286" s="280">
        <f t="shared" si="68"/>
        <v>72900</v>
      </c>
      <c r="AC286" s="53">
        <f t="shared" si="69"/>
        <v>8101</v>
      </c>
      <c r="AD286" s="53">
        <f t="shared" si="70"/>
        <v>0</v>
      </c>
      <c r="AF286" s="279">
        <f t="shared" si="71"/>
        <v>2688</v>
      </c>
      <c r="AG286" s="280">
        <f t="shared" si="72"/>
        <v>24192</v>
      </c>
      <c r="AH286" s="53">
        <f t="shared" si="73"/>
        <v>2692</v>
      </c>
      <c r="AI286" s="53">
        <f t="shared" si="74"/>
        <v>0</v>
      </c>
    </row>
    <row r="287" spans="1:35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6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6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>IF(Notes!$B$2="June",'AEA Funding and Payments'!$X287,ROUND(N287/10,0))</f>
        <v>11567</v>
      </c>
      <c r="S287" s="221">
        <f>IF(Notes!$B$2="June",'AEA Funding and Payments'!$AC287,ROUND(O287/10,0))</f>
        <v>4497</v>
      </c>
      <c r="T287" s="221">
        <f t="shared" si="62"/>
        <v>16064</v>
      </c>
      <c r="U287" s="237"/>
      <c r="V287" s="279">
        <f t="shared" si="63"/>
        <v>11567</v>
      </c>
      <c r="W287" s="280">
        <f t="shared" si="64"/>
        <v>104103</v>
      </c>
      <c r="X287" s="53">
        <f t="shared" si="65"/>
        <v>11567</v>
      </c>
      <c r="Y287" s="53">
        <f t="shared" si="66"/>
        <v>0</v>
      </c>
      <c r="AA287" s="279">
        <f t="shared" si="67"/>
        <v>4502</v>
      </c>
      <c r="AB287" s="280">
        <f t="shared" si="68"/>
        <v>40518</v>
      </c>
      <c r="AC287" s="53">
        <f t="shared" si="69"/>
        <v>4497</v>
      </c>
      <c r="AD287" s="53">
        <f t="shared" si="70"/>
        <v>0</v>
      </c>
      <c r="AF287" s="279">
        <f t="shared" si="71"/>
        <v>1785</v>
      </c>
      <c r="AG287" s="280">
        <f t="shared" si="72"/>
        <v>16065</v>
      </c>
      <c r="AH287" s="53">
        <f t="shared" si="73"/>
        <v>1789</v>
      </c>
      <c r="AI287" s="53">
        <f t="shared" si="74"/>
        <v>0</v>
      </c>
    </row>
    <row r="288" spans="1:35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6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6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>IF(Notes!$B$2="June",'AEA Funding and Payments'!$X288,ROUND(N288/10,0))</f>
        <v>13873</v>
      </c>
      <c r="S288" s="221">
        <f>IF(Notes!$B$2="June",'AEA Funding and Payments'!$AC288,ROUND(O288/10,0))</f>
        <v>5403</v>
      </c>
      <c r="T288" s="221">
        <f t="shared" si="62"/>
        <v>19276</v>
      </c>
      <c r="U288" s="237"/>
      <c r="V288" s="279">
        <f t="shared" si="63"/>
        <v>13874</v>
      </c>
      <c r="W288" s="280">
        <f t="shared" si="64"/>
        <v>124866</v>
      </c>
      <c r="X288" s="53">
        <f t="shared" si="65"/>
        <v>13873</v>
      </c>
      <c r="Y288" s="53">
        <f t="shared" si="66"/>
        <v>0</v>
      </c>
      <c r="AA288" s="279">
        <f t="shared" si="67"/>
        <v>5399</v>
      </c>
      <c r="AB288" s="280">
        <f t="shared" si="68"/>
        <v>48591</v>
      </c>
      <c r="AC288" s="53">
        <f t="shared" si="69"/>
        <v>5403</v>
      </c>
      <c r="AD288" s="53">
        <f t="shared" si="70"/>
        <v>0</v>
      </c>
      <c r="AF288" s="279">
        <f t="shared" si="71"/>
        <v>2142</v>
      </c>
      <c r="AG288" s="280">
        <f t="shared" si="72"/>
        <v>19278</v>
      </c>
      <c r="AH288" s="53">
        <f t="shared" si="73"/>
        <v>2137</v>
      </c>
      <c r="AI288" s="53">
        <f t="shared" si="74"/>
        <v>0</v>
      </c>
    </row>
    <row r="289" spans="1:35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6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6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>IF(Notes!$B$2="June",'AEA Funding and Payments'!$X289,ROUND(N289/10,0))</f>
        <v>4945</v>
      </c>
      <c r="S289" s="221">
        <f>IF(Notes!$B$2="June",'AEA Funding and Payments'!$AC289,ROUND(O289/10,0))</f>
        <v>2509</v>
      </c>
      <c r="T289" s="221">
        <f t="shared" si="62"/>
        <v>7454</v>
      </c>
      <c r="U289" s="237"/>
      <c r="V289" s="279">
        <f t="shared" si="63"/>
        <v>4941</v>
      </c>
      <c r="W289" s="280">
        <f t="shared" si="64"/>
        <v>44469</v>
      </c>
      <c r="X289" s="53">
        <f t="shared" si="65"/>
        <v>4945</v>
      </c>
      <c r="Y289" s="53">
        <f t="shared" si="66"/>
        <v>0</v>
      </c>
      <c r="AA289" s="279">
        <f t="shared" si="67"/>
        <v>2511</v>
      </c>
      <c r="AB289" s="280">
        <f t="shared" si="68"/>
        <v>22599</v>
      </c>
      <c r="AC289" s="53">
        <f t="shared" si="69"/>
        <v>2509</v>
      </c>
      <c r="AD289" s="53">
        <f t="shared" si="70"/>
        <v>0</v>
      </c>
      <c r="AF289" s="279">
        <f t="shared" si="71"/>
        <v>828</v>
      </c>
      <c r="AG289" s="280">
        <f t="shared" si="72"/>
        <v>7452</v>
      </c>
      <c r="AH289" s="53">
        <f t="shared" si="73"/>
        <v>828</v>
      </c>
      <c r="AI289" s="53">
        <f t="shared" si="74"/>
        <v>0</v>
      </c>
    </row>
    <row r="290" spans="1:35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6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6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>IF(Notes!$B$2="June",'AEA Funding and Payments'!$X290,ROUND(N290/10,0))</f>
        <v>8330</v>
      </c>
      <c r="S290" s="221">
        <f>IF(Notes!$B$2="June",'AEA Funding and Payments'!$AC290,ROUND(O290/10,0))</f>
        <v>3395</v>
      </c>
      <c r="T290" s="221">
        <f t="shared" si="62"/>
        <v>11725</v>
      </c>
      <c r="U290" s="237"/>
      <c r="V290" s="279">
        <f t="shared" si="63"/>
        <v>8335</v>
      </c>
      <c r="W290" s="280">
        <f t="shared" si="64"/>
        <v>75015</v>
      </c>
      <c r="X290" s="53">
        <f t="shared" si="65"/>
        <v>8330</v>
      </c>
      <c r="Y290" s="53">
        <f t="shared" si="66"/>
        <v>0</v>
      </c>
      <c r="AA290" s="279">
        <f t="shared" si="67"/>
        <v>3397</v>
      </c>
      <c r="AB290" s="280">
        <f t="shared" si="68"/>
        <v>30573</v>
      </c>
      <c r="AC290" s="53">
        <f t="shared" si="69"/>
        <v>3395</v>
      </c>
      <c r="AD290" s="53">
        <f t="shared" si="70"/>
        <v>0</v>
      </c>
      <c r="AF290" s="279">
        <f t="shared" si="71"/>
        <v>1304</v>
      </c>
      <c r="AG290" s="280">
        <f t="shared" si="72"/>
        <v>11736</v>
      </c>
      <c r="AH290" s="53">
        <f t="shared" si="73"/>
        <v>1299</v>
      </c>
      <c r="AI290" s="53">
        <f t="shared" si="74"/>
        <v>0</v>
      </c>
    </row>
    <row r="291" spans="1:35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6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6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>IF(Notes!$B$2="June",'AEA Funding and Payments'!$X291,ROUND(N291/10,0))</f>
        <v>7417</v>
      </c>
      <c r="S291" s="221">
        <f>IF(Notes!$B$2="June",'AEA Funding and Payments'!$AC291,ROUND(O291/10,0))</f>
        <v>3666</v>
      </c>
      <c r="T291" s="221">
        <f t="shared" si="62"/>
        <v>11083</v>
      </c>
      <c r="U291" s="237"/>
      <c r="V291" s="279">
        <f t="shared" si="63"/>
        <v>7416</v>
      </c>
      <c r="W291" s="280">
        <f t="shared" si="64"/>
        <v>66744</v>
      </c>
      <c r="X291" s="53">
        <f t="shared" si="65"/>
        <v>7417</v>
      </c>
      <c r="Y291" s="53">
        <f t="shared" si="66"/>
        <v>0</v>
      </c>
      <c r="AA291" s="279">
        <f t="shared" si="67"/>
        <v>3671</v>
      </c>
      <c r="AB291" s="280">
        <f t="shared" si="68"/>
        <v>33039</v>
      </c>
      <c r="AC291" s="53">
        <f t="shared" si="69"/>
        <v>3666</v>
      </c>
      <c r="AD291" s="53">
        <f t="shared" si="70"/>
        <v>0</v>
      </c>
      <c r="AF291" s="279">
        <f t="shared" si="71"/>
        <v>1232</v>
      </c>
      <c r="AG291" s="280">
        <f t="shared" si="72"/>
        <v>11088</v>
      </c>
      <c r="AH291" s="53">
        <f t="shared" si="73"/>
        <v>1230</v>
      </c>
      <c r="AI291" s="53">
        <f t="shared" si="74"/>
        <v>0</v>
      </c>
    </row>
    <row r="292" spans="1:35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6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6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>IF(Notes!$B$2="June",'AEA Funding and Payments'!$X292,ROUND(N292/10,0))</f>
        <v>6422</v>
      </c>
      <c r="S292" s="221">
        <f>IF(Notes!$B$2="June",'AEA Funding and Payments'!$AC292,ROUND(O292/10,0))</f>
        <v>3282</v>
      </c>
      <c r="T292" s="221">
        <f t="shared" si="62"/>
        <v>9704</v>
      </c>
      <c r="U292" s="237"/>
      <c r="V292" s="279">
        <f t="shared" si="63"/>
        <v>6422</v>
      </c>
      <c r="W292" s="280">
        <f t="shared" si="64"/>
        <v>57798</v>
      </c>
      <c r="X292" s="53">
        <f t="shared" si="65"/>
        <v>6422</v>
      </c>
      <c r="Y292" s="53">
        <f t="shared" si="66"/>
        <v>0</v>
      </c>
      <c r="AA292" s="279">
        <f t="shared" si="67"/>
        <v>3279</v>
      </c>
      <c r="AB292" s="280">
        <f t="shared" si="68"/>
        <v>29511</v>
      </c>
      <c r="AC292" s="53">
        <f t="shared" si="69"/>
        <v>3282</v>
      </c>
      <c r="AD292" s="53">
        <f t="shared" si="70"/>
        <v>0</v>
      </c>
      <c r="AF292" s="279">
        <f t="shared" si="71"/>
        <v>1078</v>
      </c>
      <c r="AG292" s="280">
        <f t="shared" si="72"/>
        <v>9702</v>
      </c>
      <c r="AH292" s="53">
        <f t="shared" si="73"/>
        <v>1077</v>
      </c>
      <c r="AI292" s="53">
        <f t="shared" si="74"/>
        <v>0</v>
      </c>
    </row>
    <row r="293" spans="1:35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6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6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>IF(Notes!$B$2="June",'AEA Funding and Payments'!$X293,ROUND(N293/10,0))</f>
        <v>3522</v>
      </c>
      <c r="S293" s="221">
        <f>IF(Notes!$B$2="June",'AEA Funding and Payments'!$AC293,ROUND(O293/10,0))</f>
        <v>1562</v>
      </c>
      <c r="T293" s="221">
        <f t="shared" si="62"/>
        <v>5084</v>
      </c>
      <c r="U293" s="237"/>
      <c r="V293" s="279">
        <f t="shared" si="63"/>
        <v>3520</v>
      </c>
      <c r="W293" s="280">
        <f t="shared" si="64"/>
        <v>31680</v>
      </c>
      <c r="X293" s="53">
        <f t="shared" si="65"/>
        <v>3522</v>
      </c>
      <c r="Y293" s="53">
        <f t="shared" si="66"/>
        <v>0</v>
      </c>
      <c r="AA293" s="279">
        <f t="shared" si="67"/>
        <v>1565</v>
      </c>
      <c r="AB293" s="280">
        <f t="shared" si="68"/>
        <v>14085</v>
      </c>
      <c r="AC293" s="53">
        <f t="shared" si="69"/>
        <v>1562</v>
      </c>
      <c r="AD293" s="53">
        <f t="shared" si="70"/>
        <v>0</v>
      </c>
      <c r="AF293" s="279">
        <f t="shared" si="71"/>
        <v>565</v>
      </c>
      <c r="AG293" s="280">
        <f t="shared" si="72"/>
        <v>5085</v>
      </c>
      <c r="AH293" s="53">
        <f t="shared" si="73"/>
        <v>565</v>
      </c>
      <c r="AI293" s="53">
        <f t="shared" si="74"/>
        <v>0</v>
      </c>
    </row>
    <row r="294" spans="1:35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6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6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>IF(Notes!$B$2="June",'AEA Funding and Payments'!$X294,ROUND(N294/10,0))</f>
        <v>15144</v>
      </c>
      <c r="S294" s="221">
        <f>IF(Notes!$B$2="June",'AEA Funding and Payments'!$AC294,ROUND(O294/10,0))</f>
        <v>5892</v>
      </c>
      <c r="T294" s="221">
        <f t="shared" si="62"/>
        <v>21036</v>
      </c>
      <c r="U294" s="237"/>
      <c r="V294" s="279">
        <f t="shared" si="63"/>
        <v>15147</v>
      </c>
      <c r="W294" s="280">
        <f t="shared" si="64"/>
        <v>136323</v>
      </c>
      <c r="X294" s="53">
        <f t="shared" si="65"/>
        <v>15144</v>
      </c>
      <c r="Y294" s="53">
        <f t="shared" si="66"/>
        <v>0</v>
      </c>
      <c r="AA294" s="279">
        <f t="shared" si="67"/>
        <v>5895</v>
      </c>
      <c r="AB294" s="280">
        <f t="shared" si="68"/>
        <v>53055</v>
      </c>
      <c r="AC294" s="53">
        <f t="shared" si="69"/>
        <v>5892</v>
      </c>
      <c r="AD294" s="53">
        <f t="shared" si="70"/>
        <v>0</v>
      </c>
      <c r="AF294" s="279">
        <f t="shared" si="71"/>
        <v>2338</v>
      </c>
      <c r="AG294" s="280">
        <f t="shared" si="72"/>
        <v>21042</v>
      </c>
      <c r="AH294" s="53">
        <f t="shared" si="73"/>
        <v>2337</v>
      </c>
      <c r="AI294" s="53">
        <f t="shared" si="74"/>
        <v>0</v>
      </c>
    </row>
    <row r="295" spans="1:35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6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6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>IF(Notes!$B$2="June",'AEA Funding and Payments'!$X295,ROUND(N295/10,0))</f>
        <v>7580</v>
      </c>
      <c r="S295" s="221">
        <f>IF(Notes!$B$2="June",'AEA Funding and Payments'!$AC295,ROUND(O295/10,0))</f>
        <v>2723</v>
      </c>
      <c r="T295" s="221">
        <f t="shared" si="62"/>
        <v>10303</v>
      </c>
      <c r="U295" s="237"/>
      <c r="V295" s="279">
        <f t="shared" si="63"/>
        <v>7580</v>
      </c>
      <c r="W295" s="280">
        <f t="shared" si="64"/>
        <v>68220</v>
      </c>
      <c r="X295" s="53">
        <f t="shared" si="65"/>
        <v>7580</v>
      </c>
      <c r="Y295" s="53">
        <f t="shared" si="66"/>
        <v>0</v>
      </c>
      <c r="AA295" s="279">
        <f t="shared" si="67"/>
        <v>2722</v>
      </c>
      <c r="AB295" s="280">
        <f t="shared" si="68"/>
        <v>24498</v>
      </c>
      <c r="AC295" s="53">
        <f t="shared" si="69"/>
        <v>2723</v>
      </c>
      <c r="AD295" s="53">
        <f t="shared" si="70"/>
        <v>0</v>
      </c>
      <c r="AF295" s="279">
        <f t="shared" si="71"/>
        <v>1145</v>
      </c>
      <c r="AG295" s="280">
        <f t="shared" si="72"/>
        <v>10305</v>
      </c>
      <c r="AH295" s="53">
        <f t="shared" si="73"/>
        <v>1142</v>
      </c>
      <c r="AI295" s="53">
        <f t="shared" si="74"/>
        <v>0</v>
      </c>
    </row>
    <row r="296" spans="1:35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6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6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>IF(Notes!$B$2="June",'AEA Funding and Payments'!$X296,ROUND(N296/10,0))</f>
        <v>74581</v>
      </c>
      <c r="S296" s="221">
        <f>IF(Notes!$B$2="June",'AEA Funding and Payments'!$AC296,ROUND(O296/10,0))</f>
        <v>25712</v>
      </c>
      <c r="T296" s="221">
        <f t="shared" si="62"/>
        <v>100293</v>
      </c>
      <c r="U296" s="237"/>
      <c r="V296" s="279">
        <f t="shared" si="63"/>
        <v>74579</v>
      </c>
      <c r="W296" s="280">
        <f t="shared" si="64"/>
        <v>671211</v>
      </c>
      <c r="X296" s="53">
        <f t="shared" si="65"/>
        <v>74581</v>
      </c>
      <c r="Y296" s="53">
        <f t="shared" si="66"/>
        <v>0</v>
      </c>
      <c r="AA296" s="279">
        <f t="shared" si="67"/>
        <v>25715</v>
      </c>
      <c r="AB296" s="280">
        <f t="shared" si="68"/>
        <v>231435</v>
      </c>
      <c r="AC296" s="53">
        <f t="shared" si="69"/>
        <v>25712</v>
      </c>
      <c r="AD296" s="53">
        <f t="shared" si="70"/>
        <v>0</v>
      </c>
      <c r="AF296" s="279">
        <f t="shared" si="71"/>
        <v>11144</v>
      </c>
      <c r="AG296" s="280">
        <f t="shared" si="72"/>
        <v>100296</v>
      </c>
      <c r="AH296" s="53">
        <f t="shared" si="73"/>
        <v>11142</v>
      </c>
      <c r="AI296" s="53">
        <f t="shared" si="74"/>
        <v>0</v>
      </c>
    </row>
    <row r="297" spans="1:35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6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6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>IF(Notes!$B$2="June",'AEA Funding and Payments'!$X297,ROUND(N297/10,0))</f>
        <v>20452</v>
      </c>
      <c r="S297" s="221">
        <f>IF(Notes!$B$2="June",'AEA Funding and Payments'!$AC297,ROUND(O297/10,0))</f>
        <v>7660</v>
      </c>
      <c r="T297" s="221">
        <f t="shared" si="62"/>
        <v>28112</v>
      </c>
      <c r="U297" s="237"/>
      <c r="V297" s="279">
        <f t="shared" si="63"/>
        <v>20456</v>
      </c>
      <c r="W297" s="280">
        <f t="shared" si="64"/>
        <v>184104</v>
      </c>
      <c r="X297" s="53">
        <f t="shared" si="65"/>
        <v>20452</v>
      </c>
      <c r="Y297" s="53">
        <f t="shared" si="66"/>
        <v>0</v>
      </c>
      <c r="AA297" s="279">
        <f t="shared" si="67"/>
        <v>7663</v>
      </c>
      <c r="AB297" s="280">
        <f t="shared" si="68"/>
        <v>68967</v>
      </c>
      <c r="AC297" s="53">
        <f t="shared" si="69"/>
        <v>7660</v>
      </c>
      <c r="AD297" s="53">
        <f t="shared" si="70"/>
        <v>0</v>
      </c>
      <c r="AF297" s="279">
        <f t="shared" si="71"/>
        <v>3124</v>
      </c>
      <c r="AG297" s="280">
        <f t="shared" si="72"/>
        <v>28116</v>
      </c>
      <c r="AH297" s="53">
        <f t="shared" si="73"/>
        <v>3127</v>
      </c>
      <c r="AI297" s="53">
        <f t="shared" si="74"/>
        <v>0</v>
      </c>
    </row>
    <row r="298" spans="1:35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6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6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>IF(Notes!$B$2="June",'AEA Funding and Payments'!$X298,ROUND(N298/10,0))</f>
        <v>19302</v>
      </c>
      <c r="S298" s="221">
        <f>IF(Notes!$B$2="June",'AEA Funding and Payments'!$AC298,ROUND(O298/10,0))</f>
        <v>6657</v>
      </c>
      <c r="T298" s="221">
        <f t="shared" si="62"/>
        <v>25959</v>
      </c>
      <c r="U298" s="237"/>
      <c r="V298" s="279">
        <f t="shared" si="63"/>
        <v>19299</v>
      </c>
      <c r="W298" s="280">
        <f t="shared" si="64"/>
        <v>173691</v>
      </c>
      <c r="X298" s="53">
        <f t="shared" si="65"/>
        <v>19302</v>
      </c>
      <c r="Y298" s="53">
        <f t="shared" si="66"/>
        <v>0</v>
      </c>
      <c r="AA298" s="279">
        <f t="shared" si="67"/>
        <v>6654</v>
      </c>
      <c r="AB298" s="280">
        <f t="shared" si="68"/>
        <v>59886</v>
      </c>
      <c r="AC298" s="53">
        <f t="shared" si="69"/>
        <v>6657</v>
      </c>
      <c r="AD298" s="53">
        <f t="shared" si="70"/>
        <v>0</v>
      </c>
      <c r="AF298" s="279">
        <f t="shared" si="71"/>
        <v>2884</v>
      </c>
      <c r="AG298" s="280">
        <f t="shared" si="72"/>
        <v>25956</v>
      </c>
      <c r="AH298" s="53">
        <f t="shared" si="73"/>
        <v>2881</v>
      </c>
      <c r="AI298" s="53">
        <f t="shared" si="74"/>
        <v>0</v>
      </c>
    </row>
    <row r="299" spans="1:35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6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6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>IF(Notes!$B$2="June",'AEA Funding and Payments'!$X299,ROUND(N299/10,0))</f>
        <v>5730</v>
      </c>
      <c r="S299" s="221">
        <f>IF(Notes!$B$2="June",'AEA Funding and Payments'!$AC299,ROUND(O299/10,0))</f>
        <v>3157</v>
      </c>
      <c r="T299" s="221">
        <f t="shared" si="62"/>
        <v>8887</v>
      </c>
      <c r="U299" s="237"/>
      <c r="V299" s="279">
        <f t="shared" si="63"/>
        <v>5733</v>
      </c>
      <c r="W299" s="280">
        <f t="shared" si="64"/>
        <v>51597</v>
      </c>
      <c r="X299" s="53">
        <f t="shared" si="65"/>
        <v>5730</v>
      </c>
      <c r="Y299" s="53">
        <f t="shared" si="66"/>
        <v>0</v>
      </c>
      <c r="AA299" s="279">
        <f t="shared" si="67"/>
        <v>3158</v>
      </c>
      <c r="AB299" s="280">
        <f t="shared" si="68"/>
        <v>28422</v>
      </c>
      <c r="AC299" s="53">
        <f t="shared" si="69"/>
        <v>3157</v>
      </c>
      <c r="AD299" s="53">
        <f t="shared" si="70"/>
        <v>0</v>
      </c>
      <c r="AF299" s="279">
        <f t="shared" si="71"/>
        <v>988</v>
      </c>
      <c r="AG299" s="280">
        <f t="shared" si="72"/>
        <v>8892</v>
      </c>
      <c r="AH299" s="53">
        <f t="shared" si="73"/>
        <v>987</v>
      </c>
      <c r="AI299" s="53">
        <f t="shared" si="74"/>
        <v>0</v>
      </c>
    </row>
    <row r="300" spans="1:35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6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6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>IF(Notes!$B$2="June",'AEA Funding and Payments'!$X300,ROUND(N300/10,0))</f>
        <v>34597</v>
      </c>
      <c r="S300" s="221">
        <f>IF(Notes!$B$2="June",'AEA Funding and Payments'!$AC300,ROUND(O300/10,0))</f>
        <v>13285</v>
      </c>
      <c r="T300" s="221">
        <f t="shared" si="62"/>
        <v>47882</v>
      </c>
      <c r="U300" s="237"/>
      <c r="V300" s="279">
        <f t="shared" si="63"/>
        <v>34599</v>
      </c>
      <c r="W300" s="280">
        <f t="shared" si="64"/>
        <v>311391</v>
      </c>
      <c r="X300" s="53">
        <f t="shared" si="65"/>
        <v>34597</v>
      </c>
      <c r="Y300" s="53">
        <f t="shared" si="66"/>
        <v>0</v>
      </c>
      <c r="AA300" s="279">
        <f t="shared" si="67"/>
        <v>13281</v>
      </c>
      <c r="AB300" s="280">
        <f t="shared" si="68"/>
        <v>119529</v>
      </c>
      <c r="AC300" s="53">
        <f t="shared" si="69"/>
        <v>13285</v>
      </c>
      <c r="AD300" s="53">
        <f t="shared" si="70"/>
        <v>0</v>
      </c>
      <c r="AF300" s="279">
        <f t="shared" si="71"/>
        <v>5320</v>
      </c>
      <c r="AG300" s="280">
        <f t="shared" si="72"/>
        <v>47880</v>
      </c>
      <c r="AH300" s="53">
        <f t="shared" si="73"/>
        <v>5320</v>
      </c>
      <c r="AI300" s="53">
        <f t="shared" si="74"/>
        <v>0</v>
      </c>
    </row>
    <row r="301" spans="1:35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6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6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>IF(Notes!$B$2="June",'AEA Funding and Payments'!$X301,ROUND(N301/10,0))</f>
        <v>10474</v>
      </c>
      <c r="S301" s="221">
        <f>IF(Notes!$B$2="June",'AEA Funding and Payments'!$AC301,ROUND(O301/10,0))</f>
        <v>3918</v>
      </c>
      <c r="T301" s="221">
        <f t="shared" si="62"/>
        <v>14392</v>
      </c>
      <c r="U301" s="237"/>
      <c r="V301" s="279">
        <f t="shared" si="63"/>
        <v>10471</v>
      </c>
      <c r="W301" s="280">
        <f t="shared" si="64"/>
        <v>94239</v>
      </c>
      <c r="X301" s="53">
        <f t="shared" si="65"/>
        <v>10474</v>
      </c>
      <c r="Y301" s="53">
        <f t="shared" si="66"/>
        <v>0</v>
      </c>
      <c r="AA301" s="279">
        <f t="shared" si="67"/>
        <v>3923</v>
      </c>
      <c r="AB301" s="280">
        <f t="shared" si="68"/>
        <v>35307</v>
      </c>
      <c r="AC301" s="53">
        <f t="shared" si="69"/>
        <v>3918</v>
      </c>
      <c r="AD301" s="53">
        <f t="shared" si="70"/>
        <v>0</v>
      </c>
      <c r="AF301" s="279">
        <f t="shared" si="71"/>
        <v>1599</v>
      </c>
      <c r="AG301" s="280">
        <f t="shared" si="72"/>
        <v>14391</v>
      </c>
      <c r="AH301" s="53">
        <f t="shared" si="73"/>
        <v>1602</v>
      </c>
      <c r="AI301" s="53">
        <f t="shared" si="74"/>
        <v>0</v>
      </c>
    </row>
    <row r="302" spans="1:35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6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6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>IF(Notes!$B$2="June",'AEA Funding and Payments'!$X302,ROUND(N302/10,0))</f>
        <v>16795</v>
      </c>
      <c r="S302" s="221">
        <f>IF(Notes!$B$2="June",'AEA Funding and Payments'!$AC302,ROUND(O302/10,0))</f>
        <v>8242</v>
      </c>
      <c r="T302" s="221">
        <f t="shared" si="62"/>
        <v>25037</v>
      </c>
      <c r="U302" s="237"/>
      <c r="V302" s="279">
        <f t="shared" si="63"/>
        <v>16800</v>
      </c>
      <c r="W302" s="280">
        <f t="shared" si="64"/>
        <v>151200</v>
      </c>
      <c r="X302" s="53">
        <f t="shared" si="65"/>
        <v>16795</v>
      </c>
      <c r="Y302" s="53">
        <f t="shared" si="66"/>
        <v>0</v>
      </c>
      <c r="AA302" s="279">
        <f t="shared" si="67"/>
        <v>8239</v>
      </c>
      <c r="AB302" s="280">
        <f t="shared" si="68"/>
        <v>74151</v>
      </c>
      <c r="AC302" s="53">
        <f t="shared" si="69"/>
        <v>8242</v>
      </c>
      <c r="AD302" s="53">
        <f t="shared" si="70"/>
        <v>0</v>
      </c>
      <c r="AF302" s="279">
        <f t="shared" si="71"/>
        <v>2782</v>
      </c>
      <c r="AG302" s="280">
        <f t="shared" si="72"/>
        <v>25038</v>
      </c>
      <c r="AH302" s="53">
        <f t="shared" si="73"/>
        <v>2783</v>
      </c>
      <c r="AI302" s="53">
        <f t="shared" si="74"/>
        <v>0</v>
      </c>
    </row>
    <row r="303" spans="1:35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6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6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>IF(Notes!$B$2="June",'AEA Funding and Payments'!$X303,ROUND(N303/10,0))</f>
        <v>11099</v>
      </c>
      <c r="S303" s="221">
        <f>IF(Notes!$B$2="June",'AEA Funding and Payments'!$AC303,ROUND(O303/10,0))</f>
        <v>6305</v>
      </c>
      <c r="T303" s="221">
        <f t="shared" si="62"/>
        <v>17404</v>
      </c>
      <c r="U303" s="237"/>
      <c r="V303" s="279">
        <f t="shared" si="63"/>
        <v>11104</v>
      </c>
      <c r="W303" s="280">
        <f t="shared" si="64"/>
        <v>99936</v>
      </c>
      <c r="X303" s="53">
        <f t="shared" si="65"/>
        <v>11099</v>
      </c>
      <c r="Y303" s="53">
        <f t="shared" si="66"/>
        <v>0</v>
      </c>
      <c r="AA303" s="279">
        <f t="shared" si="67"/>
        <v>6309</v>
      </c>
      <c r="AB303" s="280">
        <f t="shared" si="68"/>
        <v>56781</v>
      </c>
      <c r="AC303" s="53">
        <f t="shared" si="69"/>
        <v>6305</v>
      </c>
      <c r="AD303" s="53">
        <f t="shared" si="70"/>
        <v>0</v>
      </c>
      <c r="AF303" s="279">
        <f t="shared" si="71"/>
        <v>1935</v>
      </c>
      <c r="AG303" s="280">
        <f t="shared" si="72"/>
        <v>17415</v>
      </c>
      <c r="AH303" s="53">
        <f t="shared" si="73"/>
        <v>1932</v>
      </c>
      <c r="AI303" s="53">
        <f t="shared" si="74"/>
        <v>0</v>
      </c>
    </row>
    <row r="304" spans="1:35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6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6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>IF(Notes!$B$2="June",'AEA Funding and Payments'!$X304,ROUND(N304/10,0))</f>
        <v>12521</v>
      </c>
      <c r="S304" s="221">
        <f>IF(Notes!$B$2="June",'AEA Funding and Payments'!$AC304,ROUND(O304/10,0))</f>
        <v>6392</v>
      </c>
      <c r="T304" s="221">
        <f t="shared" si="62"/>
        <v>18913</v>
      </c>
      <c r="U304" s="237"/>
      <c r="V304" s="279">
        <f t="shared" si="63"/>
        <v>12519</v>
      </c>
      <c r="W304" s="280">
        <f t="shared" si="64"/>
        <v>112671</v>
      </c>
      <c r="X304" s="53">
        <f t="shared" si="65"/>
        <v>12521</v>
      </c>
      <c r="Y304" s="53">
        <f t="shared" si="66"/>
        <v>0</v>
      </c>
      <c r="AA304" s="279">
        <f t="shared" si="67"/>
        <v>6395</v>
      </c>
      <c r="AB304" s="280">
        <f t="shared" si="68"/>
        <v>57555</v>
      </c>
      <c r="AC304" s="53">
        <f t="shared" si="69"/>
        <v>6392</v>
      </c>
      <c r="AD304" s="53">
        <f t="shared" si="70"/>
        <v>0</v>
      </c>
      <c r="AF304" s="279">
        <f t="shared" si="71"/>
        <v>2102</v>
      </c>
      <c r="AG304" s="280">
        <f t="shared" si="72"/>
        <v>18918</v>
      </c>
      <c r="AH304" s="53">
        <f t="shared" si="73"/>
        <v>2097</v>
      </c>
      <c r="AI304" s="53">
        <f t="shared" si="74"/>
        <v>0</v>
      </c>
    </row>
    <row r="305" spans="1:35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6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6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>IF(Notes!$B$2="June",'AEA Funding and Payments'!$X305,ROUND(N305/10,0))</f>
        <v>34249</v>
      </c>
      <c r="S305" s="221">
        <f>IF(Notes!$B$2="June",'AEA Funding and Payments'!$AC305,ROUND(O305/10,0))</f>
        <v>13733</v>
      </c>
      <c r="T305" s="221">
        <f t="shared" si="62"/>
        <v>47982</v>
      </c>
      <c r="U305" s="237"/>
      <c r="V305" s="279">
        <f t="shared" si="63"/>
        <v>34247</v>
      </c>
      <c r="W305" s="280">
        <f t="shared" si="64"/>
        <v>308223</v>
      </c>
      <c r="X305" s="53">
        <f t="shared" si="65"/>
        <v>34249</v>
      </c>
      <c r="Y305" s="53">
        <f t="shared" si="66"/>
        <v>0</v>
      </c>
      <c r="AA305" s="279">
        <f t="shared" si="67"/>
        <v>13731</v>
      </c>
      <c r="AB305" s="280">
        <f t="shared" si="68"/>
        <v>123579</v>
      </c>
      <c r="AC305" s="53">
        <f t="shared" si="69"/>
        <v>13733</v>
      </c>
      <c r="AD305" s="53">
        <f t="shared" si="70"/>
        <v>0</v>
      </c>
      <c r="AF305" s="279">
        <f t="shared" si="71"/>
        <v>5331</v>
      </c>
      <c r="AG305" s="280">
        <f t="shared" si="72"/>
        <v>47979</v>
      </c>
      <c r="AH305" s="53">
        <f t="shared" si="73"/>
        <v>5330</v>
      </c>
      <c r="AI305" s="53">
        <f t="shared" si="74"/>
        <v>0</v>
      </c>
    </row>
    <row r="306" spans="1:35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6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6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>IF(Notes!$B$2="June",'AEA Funding and Payments'!$X306,ROUND(N306/10,0))</f>
        <v>247560</v>
      </c>
      <c r="S306" s="221">
        <f>IF(Notes!$B$2="June",'AEA Funding and Payments'!$AC306,ROUND(O306/10,0))</f>
        <v>100900</v>
      </c>
      <c r="T306" s="221">
        <f t="shared" si="62"/>
        <v>348460</v>
      </c>
      <c r="U306" s="237"/>
      <c r="V306" s="279">
        <f t="shared" si="63"/>
        <v>247561</v>
      </c>
      <c r="W306" s="280">
        <f t="shared" si="64"/>
        <v>2228049</v>
      </c>
      <c r="X306" s="53">
        <f t="shared" si="65"/>
        <v>247560</v>
      </c>
      <c r="Y306" s="53">
        <f t="shared" si="66"/>
        <v>0</v>
      </c>
      <c r="AA306" s="279">
        <f t="shared" si="67"/>
        <v>100897</v>
      </c>
      <c r="AB306" s="280">
        <f t="shared" si="68"/>
        <v>908073</v>
      </c>
      <c r="AC306" s="53">
        <f t="shared" si="69"/>
        <v>100900</v>
      </c>
      <c r="AD306" s="53">
        <f t="shared" si="70"/>
        <v>0</v>
      </c>
      <c r="AF306" s="279">
        <f t="shared" si="71"/>
        <v>38718</v>
      </c>
      <c r="AG306" s="280">
        <f t="shared" si="72"/>
        <v>348462</v>
      </c>
      <c r="AH306" s="53">
        <f t="shared" si="73"/>
        <v>38714</v>
      </c>
      <c r="AI306" s="53">
        <f t="shared" si="74"/>
        <v>0</v>
      </c>
    </row>
    <row r="307" spans="1:35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6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6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>IF(Notes!$B$2="June",'AEA Funding and Payments'!$X307,ROUND(N307/10,0))</f>
        <v>295575</v>
      </c>
      <c r="S307" s="221">
        <f>IF(Notes!$B$2="June",'AEA Funding and Payments'!$AC307,ROUND(O307/10,0))</f>
        <v>101909</v>
      </c>
      <c r="T307" s="221">
        <f t="shared" si="62"/>
        <v>397484</v>
      </c>
      <c r="U307" s="237"/>
      <c r="V307" s="279">
        <f t="shared" si="63"/>
        <v>295575</v>
      </c>
      <c r="W307" s="280">
        <f t="shared" si="64"/>
        <v>2660175</v>
      </c>
      <c r="X307" s="53">
        <f t="shared" si="65"/>
        <v>295575</v>
      </c>
      <c r="Y307" s="53">
        <f t="shared" si="66"/>
        <v>0</v>
      </c>
      <c r="AA307" s="279">
        <f t="shared" si="67"/>
        <v>101914</v>
      </c>
      <c r="AB307" s="280">
        <f t="shared" si="68"/>
        <v>917226</v>
      </c>
      <c r="AC307" s="53">
        <f t="shared" si="69"/>
        <v>101909</v>
      </c>
      <c r="AD307" s="53">
        <f t="shared" si="70"/>
        <v>0</v>
      </c>
      <c r="AF307" s="279">
        <f t="shared" si="71"/>
        <v>44165</v>
      </c>
      <c r="AG307" s="280">
        <f t="shared" si="72"/>
        <v>397485</v>
      </c>
      <c r="AH307" s="53">
        <f t="shared" si="73"/>
        <v>44169</v>
      </c>
      <c r="AI307" s="53">
        <f t="shared" si="74"/>
        <v>0</v>
      </c>
    </row>
    <row r="308" spans="1:35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6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6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>IF(Notes!$B$2="June",'AEA Funding and Payments'!$X308,ROUND(N308/10,0))</f>
        <v>45685</v>
      </c>
      <c r="S308" s="221">
        <f>IF(Notes!$B$2="June",'AEA Funding and Payments'!$AC308,ROUND(O308/10,0))</f>
        <v>18616</v>
      </c>
      <c r="T308" s="221">
        <f t="shared" si="62"/>
        <v>64301</v>
      </c>
      <c r="U308" s="237"/>
      <c r="V308" s="279">
        <f t="shared" si="63"/>
        <v>45685</v>
      </c>
      <c r="W308" s="280">
        <f t="shared" si="64"/>
        <v>411165</v>
      </c>
      <c r="X308" s="53">
        <f t="shared" si="65"/>
        <v>45685</v>
      </c>
      <c r="Y308" s="53">
        <f t="shared" si="66"/>
        <v>0</v>
      </c>
      <c r="AA308" s="279">
        <f t="shared" si="67"/>
        <v>18620</v>
      </c>
      <c r="AB308" s="280">
        <f t="shared" si="68"/>
        <v>167580</v>
      </c>
      <c r="AC308" s="53">
        <f t="shared" si="69"/>
        <v>18616</v>
      </c>
      <c r="AD308" s="53">
        <f t="shared" si="70"/>
        <v>0</v>
      </c>
      <c r="AF308" s="279">
        <f t="shared" si="71"/>
        <v>7145</v>
      </c>
      <c r="AG308" s="280">
        <f t="shared" si="72"/>
        <v>64305</v>
      </c>
      <c r="AH308" s="53">
        <f t="shared" si="73"/>
        <v>7145</v>
      </c>
      <c r="AI308" s="53">
        <f t="shared" si="74"/>
        <v>0</v>
      </c>
    </row>
    <row r="309" spans="1:35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6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6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>IF(Notes!$B$2="June",'AEA Funding and Payments'!$X309,ROUND(N309/10,0))</f>
        <v>11820</v>
      </c>
      <c r="S309" s="221">
        <f>IF(Notes!$B$2="June",'AEA Funding and Payments'!$AC309,ROUND(O309/10,0))</f>
        <v>5128</v>
      </c>
      <c r="T309" s="221">
        <f t="shared" si="62"/>
        <v>16948</v>
      </c>
      <c r="U309" s="237"/>
      <c r="V309" s="279">
        <f t="shared" si="63"/>
        <v>11825</v>
      </c>
      <c r="W309" s="280">
        <f t="shared" si="64"/>
        <v>106425</v>
      </c>
      <c r="X309" s="53">
        <f t="shared" si="65"/>
        <v>11820</v>
      </c>
      <c r="Y309" s="53">
        <f t="shared" si="66"/>
        <v>0</v>
      </c>
      <c r="AA309" s="279">
        <f t="shared" si="67"/>
        <v>5133</v>
      </c>
      <c r="AB309" s="280">
        <f t="shared" si="68"/>
        <v>46197</v>
      </c>
      <c r="AC309" s="53">
        <f t="shared" si="69"/>
        <v>5128</v>
      </c>
      <c r="AD309" s="53">
        <f t="shared" si="70"/>
        <v>0</v>
      </c>
      <c r="AF309" s="279">
        <f t="shared" si="71"/>
        <v>1884</v>
      </c>
      <c r="AG309" s="280">
        <f t="shared" si="72"/>
        <v>16956</v>
      </c>
      <c r="AH309" s="53">
        <f t="shared" si="73"/>
        <v>1885</v>
      </c>
      <c r="AI309" s="53">
        <f t="shared" si="74"/>
        <v>0</v>
      </c>
    </row>
    <row r="310" spans="1:35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6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6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>IF(Notes!$B$2="June",'AEA Funding and Payments'!$X310,ROUND(N310/10,0))</f>
        <v>36062</v>
      </c>
      <c r="S310" s="221">
        <f>IF(Notes!$B$2="June",'AEA Funding and Payments'!$AC310,ROUND(O310/10,0))</f>
        <v>16031</v>
      </c>
      <c r="T310" s="221">
        <f t="shared" si="62"/>
        <v>52093</v>
      </c>
      <c r="U310" s="237"/>
      <c r="V310" s="279">
        <f t="shared" si="63"/>
        <v>36058</v>
      </c>
      <c r="W310" s="280">
        <f t="shared" si="64"/>
        <v>324522</v>
      </c>
      <c r="X310" s="53">
        <f t="shared" si="65"/>
        <v>36062</v>
      </c>
      <c r="Y310" s="53">
        <f t="shared" si="66"/>
        <v>0</v>
      </c>
      <c r="AA310" s="279">
        <f t="shared" si="67"/>
        <v>16027</v>
      </c>
      <c r="AB310" s="280">
        <f t="shared" si="68"/>
        <v>144243</v>
      </c>
      <c r="AC310" s="53">
        <f t="shared" si="69"/>
        <v>16031</v>
      </c>
      <c r="AD310" s="53">
        <f t="shared" si="70"/>
        <v>0</v>
      </c>
      <c r="AF310" s="279">
        <f t="shared" si="71"/>
        <v>5787</v>
      </c>
      <c r="AG310" s="280">
        <f t="shared" si="72"/>
        <v>52083</v>
      </c>
      <c r="AH310" s="53">
        <f t="shared" si="73"/>
        <v>5790</v>
      </c>
      <c r="AI310" s="53">
        <f t="shared" si="74"/>
        <v>0</v>
      </c>
    </row>
    <row r="311" spans="1:35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6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6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>IF(Notes!$B$2="June",'AEA Funding and Payments'!$X311,ROUND(N311/10,0))</f>
        <v>6488</v>
      </c>
      <c r="S311" s="221">
        <f>IF(Notes!$B$2="June",'AEA Funding and Payments'!$AC311,ROUND(O311/10,0))</f>
        <v>3298</v>
      </c>
      <c r="T311" s="221">
        <f t="shared" si="62"/>
        <v>9786</v>
      </c>
      <c r="U311" s="237"/>
      <c r="V311" s="279">
        <f t="shared" si="63"/>
        <v>6487</v>
      </c>
      <c r="W311" s="280">
        <f t="shared" si="64"/>
        <v>58383</v>
      </c>
      <c r="X311" s="53">
        <f t="shared" si="65"/>
        <v>6488</v>
      </c>
      <c r="Y311" s="53">
        <f t="shared" si="66"/>
        <v>0</v>
      </c>
      <c r="AA311" s="279">
        <f t="shared" si="67"/>
        <v>3300</v>
      </c>
      <c r="AB311" s="280">
        <f t="shared" si="68"/>
        <v>29700</v>
      </c>
      <c r="AC311" s="53">
        <f t="shared" si="69"/>
        <v>3298</v>
      </c>
      <c r="AD311" s="53">
        <f t="shared" si="70"/>
        <v>0</v>
      </c>
      <c r="AF311" s="279">
        <f t="shared" si="71"/>
        <v>1087</v>
      </c>
      <c r="AG311" s="280">
        <f t="shared" si="72"/>
        <v>9783</v>
      </c>
      <c r="AH311" s="53">
        <f t="shared" si="73"/>
        <v>1091</v>
      </c>
      <c r="AI311" s="53">
        <f t="shared" si="74"/>
        <v>0</v>
      </c>
    </row>
    <row r="312" spans="1:35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6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6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>IF(Notes!$B$2="June",'AEA Funding and Payments'!$X312,ROUND(N312/10,0))</f>
        <v>16918</v>
      </c>
      <c r="S312" s="221">
        <f>IF(Notes!$B$2="June",'AEA Funding and Payments'!$AC312,ROUND(O312/10,0))</f>
        <v>6490</v>
      </c>
      <c r="T312" s="221">
        <f t="shared" si="62"/>
        <v>23408</v>
      </c>
      <c r="U312" s="237"/>
      <c r="V312" s="279">
        <f t="shared" si="63"/>
        <v>16916</v>
      </c>
      <c r="W312" s="280">
        <f t="shared" si="64"/>
        <v>152244</v>
      </c>
      <c r="X312" s="53">
        <f t="shared" si="65"/>
        <v>16918</v>
      </c>
      <c r="Y312" s="53">
        <f t="shared" si="66"/>
        <v>0</v>
      </c>
      <c r="AA312" s="279">
        <f t="shared" si="67"/>
        <v>6494</v>
      </c>
      <c r="AB312" s="280">
        <f t="shared" si="68"/>
        <v>58446</v>
      </c>
      <c r="AC312" s="53">
        <f t="shared" si="69"/>
        <v>6490</v>
      </c>
      <c r="AD312" s="53">
        <f t="shared" si="70"/>
        <v>0</v>
      </c>
      <c r="AF312" s="279">
        <f t="shared" si="71"/>
        <v>2601</v>
      </c>
      <c r="AG312" s="280">
        <f t="shared" si="72"/>
        <v>23409</v>
      </c>
      <c r="AH312" s="53">
        <f t="shared" si="73"/>
        <v>2602</v>
      </c>
      <c r="AI312" s="53">
        <f t="shared" si="74"/>
        <v>0</v>
      </c>
    </row>
    <row r="313" spans="1:35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6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6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>IF(Notes!$B$2="June",'AEA Funding and Payments'!$X313,ROUND(N313/10,0))</f>
        <v>8262</v>
      </c>
      <c r="S313" s="221">
        <f>IF(Notes!$B$2="June",'AEA Funding and Payments'!$AC313,ROUND(O313/10,0))</f>
        <v>3680</v>
      </c>
      <c r="T313" s="221">
        <f t="shared" si="62"/>
        <v>11942</v>
      </c>
      <c r="U313" s="237"/>
      <c r="V313" s="279">
        <f t="shared" si="63"/>
        <v>8262</v>
      </c>
      <c r="W313" s="280">
        <f t="shared" si="64"/>
        <v>74358</v>
      </c>
      <c r="X313" s="53">
        <f t="shared" si="65"/>
        <v>8262</v>
      </c>
      <c r="Y313" s="53">
        <f t="shared" si="66"/>
        <v>0</v>
      </c>
      <c r="AA313" s="279">
        <f t="shared" si="67"/>
        <v>3685</v>
      </c>
      <c r="AB313" s="280">
        <f t="shared" si="68"/>
        <v>33165</v>
      </c>
      <c r="AC313" s="53">
        <f t="shared" si="69"/>
        <v>3680</v>
      </c>
      <c r="AD313" s="53">
        <f t="shared" si="70"/>
        <v>0</v>
      </c>
      <c r="AF313" s="279">
        <f t="shared" si="71"/>
        <v>1327</v>
      </c>
      <c r="AG313" s="280">
        <f t="shared" si="72"/>
        <v>11943</v>
      </c>
      <c r="AH313" s="53">
        <f t="shared" si="73"/>
        <v>1331</v>
      </c>
      <c r="AI313" s="53">
        <f t="shared" si="74"/>
        <v>0</v>
      </c>
    </row>
    <row r="314" spans="1:35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6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6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>IF(Notes!$B$2="June",'AEA Funding and Payments'!$X314,ROUND(N314/10,0))</f>
        <v>5825</v>
      </c>
      <c r="S314" s="221">
        <f>IF(Notes!$B$2="June",'AEA Funding and Payments'!$AC314,ROUND(O314/10,0))</f>
        <v>2723</v>
      </c>
      <c r="T314" s="221">
        <f t="shared" si="62"/>
        <v>8548</v>
      </c>
      <c r="U314" s="237"/>
      <c r="V314" s="279">
        <f t="shared" si="63"/>
        <v>5822</v>
      </c>
      <c r="W314" s="280">
        <f t="shared" si="64"/>
        <v>52398</v>
      </c>
      <c r="X314" s="53">
        <f t="shared" si="65"/>
        <v>5825</v>
      </c>
      <c r="Y314" s="53">
        <f t="shared" si="66"/>
        <v>0</v>
      </c>
      <c r="AA314" s="279">
        <f t="shared" si="67"/>
        <v>2727</v>
      </c>
      <c r="AB314" s="280">
        <f t="shared" si="68"/>
        <v>24543</v>
      </c>
      <c r="AC314" s="53">
        <f t="shared" si="69"/>
        <v>2723</v>
      </c>
      <c r="AD314" s="53">
        <f t="shared" si="70"/>
        <v>0</v>
      </c>
      <c r="AF314" s="279">
        <f t="shared" si="71"/>
        <v>950</v>
      </c>
      <c r="AG314" s="280">
        <f t="shared" si="72"/>
        <v>8550</v>
      </c>
      <c r="AH314" s="53">
        <f t="shared" si="73"/>
        <v>949</v>
      </c>
      <c r="AI314" s="53">
        <f t="shared" si="74"/>
        <v>0</v>
      </c>
    </row>
    <row r="315" spans="1:35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6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6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>IF(Notes!$B$2="June",'AEA Funding and Payments'!$X315,ROUND(N315/10,0))</f>
        <v>27878</v>
      </c>
      <c r="S315" s="221">
        <f>IF(Notes!$B$2="June",'AEA Funding and Payments'!$AC315,ROUND(O315/10,0))</f>
        <v>13053</v>
      </c>
      <c r="T315" s="221">
        <f t="shared" si="62"/>
        <v>40931</v>
      </c>
      <c r="U315" s="237"/>
      <c r="V315" s="279">
        <f t="shared" si="63"/>
        <v>27875</v>
      </c>
      <c r="W315" s="280">
        <f t="shared" si="64"/>
        <v>250875</v>
      </c>
      <c r="X315" s="53">
        <f t="shared" si="65"/>
        <v>27878</v>
      </c>
      <c r="Y315" s="53">
        <f t="shared" si="66"/>
        <v>0</v>
      </c>
      <c r="AA315" s="279">
        <f t="shared" si="67"/>
        <v>13054</v>
      </c>
      <c r="AB315" s="280">
        <f t="shared" si="68"/>
        <v>117486</v>
      </c>
      <c r="AC315" s="53">
        <f t="shared" si="69"/>
        <v>13053</v>
      </c>
      <c r="AD315" s="53">
        <f t="shared" si="70"/>
        <v>0</v>
      </c>
      <c r="AF315" s="279">
        <f t="shared" si="71"/>
        <v>4548</v>
      </c>
      <c r="AG315" s="280">
        <f t="shared" si="72"/>
        <v>40932</v>
      </c>
      <c r="AH315" s="53">
        <f t="shared" si="73"/>
        <v>4545</v>
      </c>
      <c r="AI315" s="53">
        <f t="shared" si="74"/>
        <v>0</v>
      </c>
    </row>
    <row r="316" spans="1:35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6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6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>IF(Notes!$B$2="June",'AEA Funding and Payments'!$X316,ROUND(N316/10,0))</f>
        <v>182679</v>
      </c>
      <c r="S316" s="221">
        <f>IF(Notes!$B$2="June",'AEA Funding and Payments'!$AC316,ROUND(O316/10,0))</f>
        <v>62983</v>
      </c>
      <c r="T316" s="221">
        <f t="shared" si="62"/>
        <v>245662</v>
      </c>
      <c r="U316" s="237"/>
      <c r="V316" s="279">
        <f t="shared" si="63"/>
        <v>182680</v>
      </c>
      <c r="W316" s="280">
        <f t="shared" si="64"/>
        <v>1644120</v>
      </c>
      <c r="X316" s="53">
        <f t="shared" si="65"/>
        <v>182679</v>
      </c>
      <c r="Y316" s="53">
        <f t="shared" si="66"/>
        <v>0</v>
      </c>
      <c r="AA316" s="279">
        <f t="shared" si="67"/>
        <v>62988</v>
      </c>
      <c r="AB316" s="280">
        <f t="shared" si="68"/>
        <v>566892</v>
      </c>
      <c r="AC316" s="53">
        <f t="shared" si="69"/>
        <v>62983</v>
      </c>
      <c r="AD316" s="53">
        <f t="shared" si="70"/>
        <v>0</v>
      </c>
      <c r="AF316" s="279">
        <f t="shared" si="71"/>
        <v>27296</v>
      </c>
      <c r="AG316" s="280">
        <f t="shared" si="72"/>
        <v>245664</v>
      </c>
      <c r="AH316" s="53">
        <f t="shared" si="73"/>
        <v>27300</v>
      </c>
      <c r="AI316" s="53">
        <f t="shared" si="74"/>
        <v>0</v>
      </c>
    </row>
    <row r="317" spans="1:35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6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6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>IF(Notes!$B$2="June",'AEA Funding and Payments'!$X317,ROUND(N317/10,0))</f>
        <v>66943</v>
      </c>
      <c r="S317" s="221">
        <f>IF(Notes!$B$2="June",'AEA Funding and Payments'!$AC317,ROUND(O317/10,0))</f>
        <v>31352</v>
      </c>
      <c r="T317" s="221">
        <f t="shared" si="62"/>
        <v>98295</v>
      </c>
      <c r="U317" s="237"/>
      <c r="V317" s="279">
        <f t="shared" si="63"/>
        <v>66948</v>
      </c>
      <c r="W317" s="280">
        <f t="shared" si="64"/>
        <v>602532</v>
      </c>
      <c r="X317" s="53">
        <f t="shared" si="65"/>
        <v>66943</v>
      </c>
      <c r="Y317" s="53">
        <f t="shared" si="66"/>
        <v>0</v>
      </c>
      <c r="AA317" s="279">
        <f t="shared" si="67"/>
        <v>31351</v>
      </c>
      <c r="AB317" s="280">
        <f t="shared" si="68"/>
        <v>282159</v>
      </c>
      <c r="AC317" s="53">
        <f t="shared" si="69"/>
        <v>31352</v>
      </c>
      <c r="AD317" s="53">
        <f t="shared" si="70"/>
        <v>0</v>
      </c>
      <c r="AF317" s="279">
        <f t="shared" si="71"/>
        <v>10922</v>
      </c>
      <c r="AG317" s="280">
        <f t="shared" si="72"/>
        <v>98298</v>
      </c>
      <c r="AH317" s="53">
        <f t="shared" si="73"/>
        <v>10923</v>
      </c>
      <c r="AI317" s="53">
        <f t="shared" si="74"/>
        <v>0</v>
      </c>
    </row>
    <row r="318" spans="1:35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6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6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>IF(Notes!$B$2="June",'AEA Funding and Payments'!$X318,ROUND(N318/10,0))</f>
        <v>7086</v>
      </c>
      <c r="S318" s="221">
        <f>IF(Notes!$B$2="June",'AEA Funding and Payments'!$AC318,ROUND(O318/10,0))</f>
        <v>4183</v>
      </c>
      <c r="T318" s="221">
        <f t="shared" si="62"/>
        <v>11269</v>
      </c>
      <c r="U318" s="237"/>
      <c r="V318" s="279">
        <f t="shared" si="63"/>
        <v>7091</v>
      </c>
      <c r="W318" s="280">
        <f t="shared" si="64"/>
        <v>63819</v>
      </c>
      <c r="X318" s="53">
        <f t="shared" si="65"/>
        <v>7086</v>
      </c>
      <c r="Y318" s="53">
        <f t="shared" si="66"/>
        <v>0</v>
      </c>
      <c r="AA318" s="279">
        <f t="shared" si="67"/>
        <v>4179</v>
      </c>
      <c r="AB318" s="280">
        <f t="shared" si="68"/>
        <v>37611</v>
      </c>
      <c r="AC318" s="53">
        <f t="shared" si="69"/>
        <v>4183</v>
      </c>
      <c r="AD318" s="53">
        <f t="shared" si="70"/>
        <v>0</v>
      </c>
      <c r="AF318" s="279">
        <f t="shared" si="71"/>
        <v>1252</v>
      </c>
      <c r="AG318" s="280">
        <f t="shared" si="72"/>
        <v>11268</v>
      </c>
      <c r="AH318" s="53">
        <f t="shared" si="73"/>
        <v>1254</v>
      </c>
      <c r="AI318" s="53">
        <f t="shared" si="74"/>
        <v>0</v>
      </c>
    </row>
    <row r="319" spans="1:35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6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6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>IF(Notes!$B$2="June",'AEA Funding and Payments'!$X319,ROUND(N319/10,0))</f>
        <v>26021</v>
      </c>
      <c r="S319" s="221">
        <f>IF(Notes!$B$2="June",'AEA Funding and Payments'!$AC319,ROUND(O319/10,0))</f>
        <v>10259</v>
      </c>
      <c r="T319" s="221">
        <f t="shared" si="62"/>
        <v>36280</v>
      </c>
      <c r="U319" s="237"/>
      <c r="V319" s="279">
        <f t="shared" si="63"/>
        <v>26017</v>
      </c>
      <c r="W319" s="280">
        <f t="shared" si="64"/>
        <v>234153</v>
      </c>
      <c r="X319" s="53">
        <f t="shared" si="65"/>
        <v>26021</v>
      </c>
      <c r="Y319" s="53">
        <f t="shared" si="66"/>
        <v>0</v>
      </c>
      <c r="AA319" s="279">
        <f t="shared" si="67"/>
        <v>10264</v>
      </c>
      <c r="AB319" s="280">
        <f t="shared" si="68"/>
        <v>92376</v>
      </c>
      <c r="AC319" s="53">
        <f t="shared" si="69"/>
        <v>10259</v>
      </c>
      <c r="AD319" s="53">
        <f t="shared" si="70"/>
        <v>0</v>
      </c>
      <c r="AF319" s="279">
        <f t="shared" si="71"/>
        <v>4031</v>
      </c>
      <c r="AG319" s="280">
        <f t="shared" si="72"/>
        <v>36279</v>
      </c>
      <c r="AH319" s="53">
        <f t="shared" si="73"/>
        <v>4033</v>
      </c>
      <c r="AI319" s="53">
        <f t="shared" si="74"/>
        <v>0</v>
      </c>
    </row>
    <row r="320" spans="1:35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6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6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>IF(Notes!$B$2="June",'AEA Funding and Payments'!$X320,ROUND(N320/10,0))</f>
        <v>19357</v>
      </c>
      <c r="S320" s="221">
        <f>IF(Notes!$B$2="June",'AEA Funding and Payments'!$AC320,ROUND(O320/10,0))</f>
        <v>8236</v>
      </c>
      <c r="T320" s="221">
        <f t="shared" si="62"/>
        <v>27593</v>
      </c>
      <c r="U320" s="237"/>
      <c r="V320" s="279">
        <f t="shared" si="63"/>
        <v>19356</v>
      </c>
      <c r="W320" s="280">
        <f t="shared" si="64"/>
        <v>174204</v>
      </c>
      <c r="X320" s="53">
        <f t="shared" si="65"/>
        <v>19357</v>
      </c>
      <c r="Y320" s="53">
        <f t="shared" si="66"/>
        <v>0</v>
      </c>
      <c r="AA320" s="279">
        <f t="shared" si="67"/>
        <v>8240</v>
      </c>
      <c r="AB320" s="280">
        <f t="shared" si="68"/>
        <v>74160</v>
      </c>
      <c r="AC320" s="53">
        <f t="shared" si="69"/>
        <v>8236</v>
      </c>
      <c r="AD320" s="53">
        <f t="shared" si="70"/>
        <v>0</v>
      </c>
      <c r="AF320" s="279">
        <f t="shared" si="71"/>
        <v>3066</v>
      </c>
      <c r="AG320" s="280">
        <f t="shared" si="72"/>
        <v>27594</v>
      </c>
      <c r="AH320" s="53">
        <f t="shared" si="73"/>
        <v>3068</v>
      </c>
      <c r="AI320" s="53">
        <f t="shared" si="74"/>
        <v>0</v>
      </c>
    </row>
    <row r="321" spans="1:35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6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6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>IF(Notes!$B$2="June",'AEA Funding and Payments'!$X321,ROUND(N321/10,0))</f>
        <v>14754</v>
      </c>
      <c r="S321" s="221">
        <f>IF(Notes!$B$2="June",'AEA Funding and Payments'!$AC321,ROUND(O321/10,0))</f>
        <v>7543</v>
      </c>
      <c r="T321" s="221">
        <f t="shared" si="62"/>
        <v>22297</v>
      </c>
      <c r="U321" s="237"/>
      <c r="V321" s="279">
        <f t="shared" si="63"/>
        <v>14754</v>
      </c>
      <c r="W321" s="280">
        <f t="shared" si="64"/>
        <v>132786</v>
      </c>
      <c r="X321" s="53">
        <f t="shared" si="65"/>
        <v>14754</v>
      </c>
      <c r="Y321" s="53">
        <f t="shared" si="66"/>
        <v>0</v>
      </c>
      <c r="AA321" s="279">
        <f t="shared" si="67"/>
        <v>7548</v>
      </c>
      <c r="AB321" s="280">
        <f t="shared" si="68"/>
        <v>67932</v>
      </c>
      <c r="AC321" s="53">
        <f t="shared" si="69"/>
        <v>7543</v>
      </c>
      <c r="AD321" s="53">
        <f t="shared" si="70"/>
        <v>0</v>
      </c>
      <c r="AF321" s="279">
        <f t="shared" si="71"/>
        <v>2478</v>
      </c>
      <c r="AG321" s="280">
        <f t="shared" si="72"/>
        <v>22302</v>
      </c>
      <c r="AH321" s="53">
        <f t="shared" si="73"/>
        <v>2478</v>
      </c>
      <c r="AI321" s="53">
        <f t="shared" si="74"/>
        <v>0</v>
      </c>
    </row>
    <row r="322" spans="1:35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6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6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>IF(Notes!$B$2="June",'AEA Funding and Payments'!$X322,ROUND(N322/10,0))</f>
        <v>12257</v>
      </c>
      <c r="S322" s="221">
        <f>IF(Notes!$B$2="June",'AEA Funding and Payments'!$AC322,ROUND(O322/10,0))</f>
        <v>6041</v>
      </c>
      <c r="T322" s="221">
        <f t="shared" si="62"/>
        <v>18298</v>
      </c>
      <c r="U322" s="237"/>
      <c r="V322" s="279">
        <f t="shared" si="63"/>
        <v>12254</v>
      </c>
      <c r="W322" s="280">
        <f t="shared" si="64"/>
        <v>110286</v>
      </c>
      <c r="X322" s="53">
        <f t="shared" si="65"/>
        <v>12257</v>
      </c>
      <c r="Y322" s="53">
        <f t="shared" si="66"/>
        <v>0</v>
      </c>
      <c r="AA322" s="279">
        <f t="shared" si="67"/>
        <v>6041</v>
      </c>
      <c r="AB322" s="280">
        <f t="shared" si="68"/>
        <v>54369</v>
      </c>
      <c r="AC322" s="53">
        <f t="shared" si="69"/>
        <v>6041</v>
      </c>
      <c r="AD322" s="53">
        <f t="shared" si="70"/>
        <v>0</v>
      </c>
      <c r="AF322" s="279">
        <f t="shared" si="71"/>
        <v>2033</v>
      </c>
      <c r="AG322" s="280">
        <f t="shared" si="72"/>
        <v>18297</v>
      </c>
      <c r="AH322" s="53">
        <f t="shared" si="73"/>
        <v>2031</v>
      </c>
      <c r="AI322" s="53">
        <f t="shared" si="74"/>
        <v>0</v>
      </c>
    </row>
    <row r="323" spans="1:35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6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6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>IF(Notes!$B$2="June",'AEA Funding and Payments'!$X323,ROUND(N323/10,0))</f>
        <v>15594</v>
      </c>
      <c r="S323" s="221">
        <f>IF(Notes!$B$2="June",'AEA Funding and Payments'!$AC323,ROUND(O323/10,0))</f>
        <v>8313</v>
      </c>
      <c r="T323" s="221">
        <f t="shared" si="62"/>
        <v>23907</v>
      </c>
      <c r="U323" s="237"/>
      <c r="V323" s="279">
        <f t="shared" si="63"/>
        <v>15596</v>
      </c>
      <c r="W323" s="280">
        <f t="shared" si="64"/>
        <v>140364</v>
      </c>
      <c r="X323" s="53">
        <f t="shared" si="65"/>
        <v>15594</v>
      </c>
      <c r="Y323" s="53">
        <f t="shared" si="66"/>
        <v>0</v>
      </c>
      <c r="AA323" s="279">
        <f t="shared" si="67"/>
        <v>8316</v>
      </c>
      <c r="AB323" s="280">
        <f t="shared" si="68"/>
        <v>74844</v>
      </c>
      <c r="AC323" s="53">
        <f t="shared" si="69"/>
        <v>8313</v>
      </c>
      <c r="AD323" s="53">
        <f t="shared" si="70"/>
        <v>0</v>
      </c>
      <c r="AF323" s="279">
        <f t="shared" si="71"/>
        <v>2657</v>
      </c>
      <c r="AG323" s="280">
        <f t="shared" si="72"/>
        <v>23913</v>
      </c>
      <c r="AH323" s="53">
        <f t="shared" si="73"/>
        <v>2655</v>
      </c>
      <c r="AI323" s="53">
        <f t="shared" si="74"/>
        <v>0</v>
      </c>
    </row>
    <row r="324" spans="1:35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6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6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IF(Notes!$B$2="June",'AEA Funding and Payments'!$X324,ROUND(N324/10,0))</f>
        <v>10759</v>
      </c>
      <c r="S324" s="221">
        <f>IF(Notes!$B$2="June",'AEA Funding and Payments'!$AC324,ROUND(O324/10,0))</f>
        <v>5626</v>
      </c>
      <c r="T324" s="221">
        <f>SUM(R324:S324)</f>
        <v>16385</v>
      </c>
      <c r="U324" s="237"/>
      <c r="V324" s="279">
        <f t="shared" si="63"/>
        <v>10755</v>
      </c>
      <c r="W324" s="280">
        <f t="shared" si="64"/>
        <v>96795</v>
      </c>
      <c r="X324" s="53">
        <f t="shared" si="65"/>
        <v>10759</v>
      </c>
      <c r="Y324" s="53">
        <f t="shared" si="66"/>
        <v>0</v>
      </c>
      <c r="AA324" s="279">
        <f t="shared" si="67"/>
        <v>5626</v>
      </c>
      <c r="AB324" s="280">
        <f t="shared" si="68"/>
        <v>50634</v>
      </c>
      <c r="AC324" s="53">
        <f t="shared" si="69"/>
        <v>5626</v>
      </c>
      <c r="AD324" s="53">
        <f t="shared" si="70"/>
        <v>0</v>
      </c>
      <c r="AF324" s="279">
        <f t="shared" si="71"/>
        <v>1820</v>
      </c>
      <c r="AG324" s="280">
        <f t="shared" si="72"/>
        <v>16380</v>
      </c>
      <c r="AH324" s="53">
        <f t="shared" si="73"/>
        <v>1822</v>
      </c>
      <c r="AI324" s="53">
        <f t="shared" si="74"/>
        <v>0</v>
      </c>
    </row>
    <row r="325" spans="1:35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6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6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>IF(Notes!$B$2="June",'AEA Funding and Payments'!$X325,ROUND(N325/10,0))</f>
        <v>3540</v>
      </c>
      <c r="S325" s="221">
        <f>IF(Notes!$B$2="June",'AEA Funding and Payments'!$AC325,ROUND(O325/10,0))</f>
        <v>2220</v>
      </c>
      <c r="T325" s="221">
        <f t="shared" si="62"/>
        <v>5760</v>
      </c>
      <c r="U325" s="237"/>
      <c r="V325" s="279">
        <f t="shared" si="63"/>
        <v>3537</v>
      </c>
      <c r="W325" s="280">
        <f t="shared" si="64"/>
        <v>31833</v>
      </c>
      <c r="X325" s="53">
        <f t="shared" si="65"/>
        <v>3540</v>
      </c>
      <c r="Y325" s="53">
        <f t="shared" si="66"/>
        <v>0</v>
      </c>
      <c r="AA325" s="279">
        <f t="shared" si="67"/>
        <v>2223</v>
      </c>
      <c r="AB325" s="280">
        <f t="shared" si="68"/>
        <v>20007</v>
      </c>
      <c r="AC325" s="53">
        <f t="shared" si="69"/>
        <v>2220</v>
      </c>
      <c r="AD325" s="53">
        <f t="shared" si="70"/>
        <v>0</v>
      </c>
      <c r="AF325" s="279">
        <f t="shared" si="71"/>
        <v>640</v>
      </c>
      <c r="AG325" s="280">
        <f t="shared" si="72"/>
        <v>5760</v>
      </c>
      <c r="AH325" s="53">
        <f t="shared" si="73"/>
        <v>640</v>
      </c>
      <c r="AI325" s="53">
        <f t="shared" si="74"/>
        <v>0</v>
      </c>
    </row>
    <row r="326" spans="1:35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6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6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>IF(Notes!$B$2="June",'AEA Funding and Payments'!$X326,ROUND(N326/10,0))</f>
        <v>22747</v>
      </c>
      <c r="S326" s="221">
        <f>IF(Notes!$B$2="June",'AEA Funding and Payments'!$AC326,ROUND(O326/10,0))</f>
        <v>9440</v>
      </c>
      <c r="T326" s="221">
        <f t="shared" si="62"/>
        <v>32187</v>
      </c>
      <c r="U326" s="237"/>
      <c r="V326" s="279">
        <f t="shared" si="63"/>
        <v>22743</v>
      </c>
      <c r="W326" s="280">
        <f t="shared" si="64"/>
        <v>204687</v>
      </c>
      <c r="X326" s="53">
        <f t="shared" si="65"/>
        <v>22747</v>
      </c>
      <c r="Y326" s="53">
        <f t="shared" si="66"/>
        <v>0</v>
      </c>
      <c r="AA326" s="279">
        <f t="shared" si="67"/>
        <v>9442</v>
      </c>
      <c r="AB326" s="280">
        <f t="shared" si="68"/>
        <v>84978</v>
      </c>
      <c r="AC326" s="53">
        <f t="shared" si="69"/>
        <v>9440</v>
      </c>
      <c r="AD326" s="53">
        <f t="shared" si="70"/>
        <v>0</v>
      </c>
      <c r="AF326" s="279">
        <f t="shared" si="71"/>
        <v>3576</v>
      </c>
      <c r="AG326" s="280">
        <f t="shared" si="72"/>
        <v>32184</v>
      </c>
      <c r="AH326" s="53">
        <f t="shared" si="73"/>
        <v>3577</v>
      </c>
      <c r="AI326" s="53">
        <f t="shared" si="74"/>
        <v>0</v>
      </c>
    </row>
    <row r="327" spans="1:35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6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6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>IF(Notes!$B$2="June",'AEA Funding and Payments'!$X327,ROUND(N327/10,0))</f>
        <v>16758</v>
      </c>
      <c r="S327" s="221">
        <f>IF(Notes!$B$2="June",'AEA Funding and Payments'!$AC327,ROUND(O327/10,0))</f>
        <v>7468</v>
      </c>
      <c r="T327" s="221">
        <f t="shared" si="62"/>
        <v>24226</v>
      </c>
      <c r="U327" s="237"/>
      <c r="V327" s="279">
        <f t="shared" si="63"/>
        <v>16762</v>
      </c>
      <c r="W327" s="280">
        <f t="shared" si="64"/>
        <v>150858</v>
      </c>
      <c r="X327" s="53">
        <f t="shared" si="65"/>
        <v>16758</v>
      </c>
      <c r="Y327" s="53">
        <f t="shared" si="66"/>
        <v>0</v>
      </c>
      <c r="AA327" s="279">
        <f t="shared" si="67"/>
        <v>7472</v>
      </c>
      <c r="AB327" s="280">
        <f t="shared" si="68"/>
        <v>67248</v>
      </c>
      <c r="AC327" s="53">
        <f t="shared" si="69"/>
        <v>7468</v>
      </c>
      <c r="AD327" s="53">
        <f t="shared" si="70"/>
        <v>0</v>
      </c>
      <c r="AF327" s="279">
        <f t="shared" si="71"/>
        <v>2693</v>
      </c>
      <c r="AG327" s="280">
        <f t="shared" si="72"/>
        <v>24237</v>
      </c>
      <c r="AH327" s="53">
        <f t="shared" si="73"/>
        <v>2689</v>
      </c>
      <c r="AI327" s="53">
        <f t="shared" si="74"/>
        <v>0</v>
      </c>
    </row>
    <row r="328" spans="1:35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6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6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>IF(Notes!$B$2="June",'AEA Funding and Payments'!$X328,ROUND(N328/10,0))</f>
        <v>6427</v>
      </c>
      <c r="S328" s="221">
        <f>IF(Notes!$B$2="June",'AEA Funding and Payments'!$AC328,ROUND(O328/10,0))</f>
        <v>2660</v>
      </c>
      <c r="T328" s="221">
        <f t="shared" si="62"/>
        <v>9087</v>
      </c>
      <c r="U328" s="237"/>
      <c r="V328" s="279">
        <f t="shared" si="63"/>
        <v>6429</v>
      </c>
      <c r="W328" s="280">
        <f t="shared" si="64"/>
        <v>57861</v>
      </c>
      <c r="X328" s="53">
        <f t="shared" si="65"/>
        <v>6427</v>
      </c>
      <c r="Y328" s="53">
        <f t="shared" si="66"/>
        <v>0</v>
      </c>
      <c r="AA328" s="279">
        <f t="shared" si="67"/>
        <v>2656</v>
      </c>
      <c r="AB328" s="280">
        <f t="shared" si="68"/>
        <v>23904</v>
      </c>
      <c r="AC328" s="53">
        <f t="shared" si="69"/>
        <v>2660</v>
      </c>
      <c r="AD328" s="53">
        <f t="shared" si="70"/>
        <v>0</v>
      </c>
      <c r="AF328" s="279">
        <f t="shared" si="71"/>
        <v>1010</v>
      </c>
      <c r="AG328" s="280">
        <f t="shared" si="72"/>
        <v>9090</v>
      </c>
      <c r="AH328" s="53">
        <f t="shared" si="73"/>
        <v>1005</v>
      </c>
      <c r="AI328" s="53">
        <f t="shared" si="74"/>
        <v>0</v>
      </c>
    </row>
    <row r="329" spans="1:35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7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7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>IF(Notes!$B$2="June",'AEA Funding and Payments'!$X329,ROUND(N329/10,0))</f>
        <v>35448</v>
      </c>
      <c r="S329" s="221">
        <f>IF(Notes!$B$2="June",'AEA Funding and Payments'!$AC329,ROUND(O329/10,0))</f>
        <v>12220</v>
      </c>
      <c r="T329" s="221">
        <f t="shared" ref="T329:T332" si="77">SUM(R329:S329)</f>
        <v>47668</v>
      </c>
      <c r="U329" s="237"/>
      <c r="V329" s="279">
        <f t="shared" ref="V329:V332" si="78">ROUND(N329/10,0)</f>
        <v>35449</v>
      </c>
      <c r="W329" s="280">
        <f t="shared" ref="W329:W332" si="79">V329*9</f>
        <v>319041</v>
      </c>
      <c r="X329" s="53">
        <f t="shared" ref="X329:X332" si="80">N329-W329</f>
        <v>35448</v>
      </c>
      <c r="Y329" s="53">
        <f t="shared" ref="Y329:Y333" si="81">W329+X329-N329</f>
        <v>0</v>
      </c>
      <c r="AA329" s="279">
        <f t="shared" ref="AA329:AA332" si="82">ROUND(O329/10,0)</f>
        <v>12223</v>
      </c>
      <c r="AB329" s="280">
        <f t="shared" ref="AB329:AB332" si="83">AA329*9</f>
        <v>110007</v>
      </c>
      <c r="AC329" s="53">
        <f t="shared" ref="AC329:AC332" si="84">O329-AB329</f>
        <v>12220</v>
      </c>
      <c r="AD329" s="53">
        <f t="shared" ref="AD329:AD332" si="85">AB329+AC329-O329</f>
        <v>0</v>
      </c>
      <c r="AF329" s="279">
        <f t="shared" ref="AF329:AF332" si="86">ROUND(L329/10,0)</f>
        <v>5297</v>
      </c>
      <c r="AG329" s="280">
        <f t="shared" ref="AG329:AG332" si="87">AF329*9</f>
        <v>47673</v>
      </c>
      <c r="AH329" s="53">
        <f t="shared" ref="AH329:AH332" si="88">L329-AG329</f>
        <v>5296</v>
      </c>
      <c r="AI329" s="53">
        <f t="shared" ref="AI329:AI332" si="89">AG329+AH329-L329</f>
        <v>0</v>
      </c>
    </row>
    <row r="330" spans="1:35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7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7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>IF(Notes!$B$2="June",'AEA Funding and Payments'!$X330,ROUND(N330/10,0))</f>
        <v>10756</v>
      </c>
      <c r="S330" s="221">
        <f>IF(Notes!$B$2="June",'AEA Funding and Payments'!$AC330,ROUND(O330/10,0))</f>
        <v>4188</v>
      </c>
      <c r="T330" s="221">
        <f t="shared" si="77"/>
        <v>14944</v>
      </c>
      <c r="U330" s="237"/>
      <c r="V330" s="279">
        <f t="shared" si="78"/>
        <v>10757</v>
      </c>
      <c r="W330" s="280">
        <f t="shared" si="79"/>
        <v>96813</v>
      </c>
      <c r="X330" s="53">
        <f t="shared" si="80"/>
        <v>10756</v>
      </c>
      <c r="Y330" s="53">
        <f t="shared" si="81"/>
        <v>0</v>
      </c>
      <c r="AA330" s="279">
        <f t="shared" si="82"/>
        <v>4186</v>
      </c>
      <c r="AB330" s="280">
        <f t="shared" si="83"/>
        <v>37674</v>
      </c>
      <c r="AC330" s="53">
        <f t="shared" si="84"/>
        <v>4188</v>
      </c>
      <c r="AD330" s="53">
        <f t="shared" si="85"/>
        <v>0</v>
      </c>
      <c r="AF330" s="279">
        <f t="shared" si="86"/>
        <v>1660</v>
      </c>
      <c r="AG330" s="280">
        <f t="shared" si="87"/>
        <v>14940</v>
      </c>
      <c r="AH330" s="53">
        <f t="shared" si="88"/>
        <v>1663</v>
      </c>
      <c r="AI330" s="53">
        <f t="shared" si="89"/>
        <v>0</v>
      </c>
    </row>
    <row r="331" spans="1:35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7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7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>IF(Notes!$B$2="June",'AEA Funding and Payments'!$X331,ROUND(N331/10,0))</f>
        <v>11323</v>
      </c>
      <c r="S331" s="221">
        <f>IF(Notes!$B$2="June",'AEA Funding and Payments'!$AC331,ROUND(O331/10,0))</f>
        <v>4822</v>
      </c>
      <c r="T331" s="221">
        <f t="shared" si="77"/>
        <v>16145</v>
      </c>
      <c r="U331" s="237"/>
      <c r="V331" s="279">
        <f t="shared" si="78"/>
        <v>11321</v>
      </c>
      <c r="W331" s="280">
        <f t="shared" si="79"/>
        <v>101889</v>
      </c>
      <c r="X331" s="53">
        <f t="shared" si="80"/>
        <v>11323</v>
      </c>
      <c r="Y331" s="53">
        <f t="shared" si="81"/>
        <v>0</v>
      </c>
      <c r="AA331" s="279">
        <f t="shared" si="82"/>
        <v>4819</v>
      </c>
      <c r="AB331" s="280">
        <f t="shared" si="83"/>
        <v>43371</v>
      </c>
      <c r="AC331" s="53">
        <f t="shared" si="84"/>
        <v>4822</v>
      </c>
      <c r="AD331" s="53">
        <f t="shared" si="85"/>
        <v>0</v>
      </c>
      <c r="AF331" s="279">
        <f t="shared" si="86"/>
        <v>1793</v>
      </c>
      <c r="AG331" s="280">
        <f t="shared" si="87"/>
        <v>16137</v>
      </c>
      <c r="AH331" s="53">
        <f t="shared" si="88"/>
        <v>1797</v>
      </c>
      <c r="AI331" s="53">
        <f t="shared" si="89"/>
        <v>0</v>
      </c>
    </row>
    <row r="332" spans="1:35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7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7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IF(Notes!$B$2="June",'AEA Funding and Payments'!$X332,ROUND(N332/10,0))</f>
        <v>23050</v>
      </c>
      <c r="S332" s="221">
        <f>IF(Notes!$B$2="June",'AEA Funding and Payments'!$AC332,ROUND(O332/10,0))</f>
        <v>7944</v>
      </c>
      <c r="T332" s="221">
        <f t="shared" si="77"/>
        <v>30994</v>
      </c>
      <c r="U332" s="237"/>
      <c r="V332" s="279">
        <f t="shared" si="78"/>
        <v>23050</v>
      </c>
      <c r="W332" s="280">
        <f t="shared" si="79"/>
        <v>207450</v>
      </c>
      <c r="X332" s="53">
        <f t="shared" si="80"/>
        <v>23050</v>
      </c>
      <c r="Y332" s="53">
        <f t="shared" si="81"/>
        <v>0</v>
      </c>
      <c r="AA332" s="279">
        <f t="shared" si="82"/>
        <v>7948</v>
      </c>
      <c r="AB332" s="280">
        <f t="shared" si="83"/>
        <v>71532</v>
      </c>
      <c r="AC332" s="53">
        <f t="shared" si="84"/>
        <v>7944</v>
      </c>
      <c r="AD332" s="53">
        <f t="shared" si="85"/>
        <v>0</v>
      </c>
      <c r="AF332" s="279">
        <f t="shared" si="86"/>
        <v>3444</v>
      </c>
      <c r="AG332" s="280">
        <f t="shared" si="87"/>
        <v>30996</v>
      </c>
      <c r="AH332" s="53">
        <f t="shared" si="88"/>
        <v>3446</v>
      </c>
      <c r="AI332" s="53">
        <f t="shared" si="89"/>
        <v>0</v>
      </c>
    </row>
    <row r="333" spans="1:35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90">SUM(H8:H332)</f>
        <v>37346747</v>
      </c>
      <c r="I333" s="214">
        <f t="shared" si="9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91">SUM(N8:N332)</f>
        <v>103189588</v>
      </c>
      <c r="O333" s="214">
        <f t="shared" si="91"/>
        <v>41251838</v>
      </c>
      <c r="P333" s="214">
        <f t="shared" si="91"/>
        <v>144441426</v>
      </c>
      <c r="Q333" s="213"/>
      <c r="R333" s="214">
        <f t="shared" si="91"/>
        <v>10318903</v>
      </c>
      <c r="S333" s="214">
        <f>SUM(S8:S332)</f>
        <v>4125011</v>
      </c>
      <c r="T333" s="214">
        <f t="shared" si="91"/>
        <v>14443914</v>
      </c>
      <c r="V333" s="279">
        <f>SUM(V8:V332)</f>
        <v>10318965</v>
      </c>
      <c r="W333" s="279">
        <f t="shared" ref="W333:X333" si="92">SUM(W8:W332)</f>
        <v>92870685</v>
      </c>
      <c r="X333" s="279">
        <f t="shared" si="92"/>
        <v>10318903</v>
      </c>
      <c r="Y333" s="53">
        <f t="shared" si="81"/>
        <v>0</v>
      </c>
      <c r="AA333" s="279">
        <f>SUM(AA8:AA332)</f>
        <v>4125203</v>
      </c>
      <c r="AB333" s="279">
        <f>SUM(AB8:AB332)</f>
        <v>37126827</v>
      </c>
      <c r="AC333" s="279">
        <f>SUM(AC8:AC332)</f>
        <v>4125011</v>
      </c>
      <c r="AD333" s="279">
        <f t="shared" ref="AD333" si="93">SUM(AD8:AD332)</f>
        <v>0</v>
      </c>
      <c r="AF333" s="279">
        <f>SUM(AF8:AF332)</f>
        <v>1604909</v>
      </c>
      <c r="AG333" s="279">
        <f t="shared" ref="AG333:AI333" si="94">SUM(AG8:AG332)</f>
        <v>14444181</v>
      </c>
      <c r="AH333" s="279">
        <f t="shared" si="94"/>
        <v>1604884</v>
      </c>
      <c r="AI333" s="279">
        <f t="shared" si="94"/>
        <v>0</v>
      </c>
    </row>
    <row r="334" spans="1:35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7" t="s">
        <v>1197</v>
      </c>
      <c r="J4" s="297"/>
      <c r="K4" s="265"/>
      <c r="L4" s="297" t="s">
        <v>1731</v>
      </c>
      <c r="M4" s="297"/>
      <c r="N4" s="297"/>
      <c r="O4" s="297"/>
    </row>
    <row r="5" spans="4:15" ht="15.75" x14ac:dyDescent="0.25">
      <c r="D5" s="264"/>
      <c r="E5" s="269" t="s">
        <v>1732</v>
      </c>
      <c r="F5" s="269" t="s">
        <v>1733</v>
      </c>
      <c r="G5" s="269" t="s">
        <v>1758</v>
      </c>
      <c r="H5" s="270" t="s">
        <v>1734</v>
      </c>
      <c r="I5" s="270" t="s">
        <v>1735</v>
      </c>
      <c r="J5" s="270" t="s">
        <v>1736</v>
      </c>
      <c r="K5" s="271"/>
      <c r="L5" s="270" t="s">
        <v>1737</v>
      </c>
      <c r="M5" s="270" t="s">
        <v>1738</v>
      </c>
      <c r="N5" s="270" t="s">
        <v>1736</v>
      </c>
      <c r="O5" s="270" t="s">
        <v>1739</v>
      </c>
    </row>
    <row r="6" spans="4:15" ht="15.75" x14ac:dyDescent="0.25">
      <c r="D6" s="266" t="s">
        <v>1740</v>
      </c>
      <c r="E6" s="266" t="s">
        <v>1741</v>
      </c>
      <c r="F6" s="266" t="s">
        <v>1742</v>
      </c>
      <c r="G6" s="272" t="s">
        <v>707</v>
      </c>
      <c r="H6" s="266" t="s">
        <v>1743</v>
      </c>
      <c r="I6" s="266">
        <v>1111</v>
      </c>
      <c r="J6" s="266"/>
      <c r="K6" s="265"/>
      <c r="L6" s="298" t="s">
        <v>1215</v>
      </c>
      <c r="M6" s="299"/>
      <c r="N6" s="299"/>
      <c r="O6" s="300"/>
    </row>
    <row r="7" spans="4:15" ht="15.75" x14ac:dyDescent="0.25">
      <c r="D7" s="266" t="s">
        <v>1744</v>
      </c>
      <c r="E7" s="266" t="s">
        <v>1741</v>
      </c>
      <c r="F7" s="266" t="s">
        <v>1742</v>
      </c>
      <c r="G7" s="272" t="s">
        <v>707</v>
      </c>
      <c r="H7" s="266" t="s">
        <v>1743</v>
      </c>
      <c r="I7" s="266">
        <v>1111</v>
      </c>
      <c r="J7" s="266"/>
      <c r="K7" s="265"/>
      <c r="L7" s="301"/>
      <c r="M7" s="302"/>
      <c r="N7" s="302"/>
      <c r="O7" s="303"/>
    </row>
    <row r="8" spans="4:15" ht="15.75" x14ac:dyDescent="0.25">
      <c r="D8" s="266" t="s">
        <v>1745</v>
      </c>
      <c r="E8" s="266" t="s">
        <v>1741</v>
      </c>
      <c r="F8" s="266" t="s">
        <v>1746</v>
      </c>
      <c r="G8" s="272" t="s">
        <v>707</v>
      </c>
      <c r="H8" s="266" t="s">
        <v>1747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1748</v>
      </c>
      <c r="E9" s="266" t="s">
        <v>1741</v>
      </c>
      <c r="F9" s="266" t="s">
        <v>1746</v>
      </c>
      <c r="G9" s="273" t="s">
        <v>1759</v>
      </c>
      <c r="H9" s="266" t="s">
        <v>1747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1749</v>
      </c>
      <c r="E10" s="266" t="s">
        <v>1741</v>
      </c>
      <c r="F10" s="266" t="s">
        <v>1742</v>
      </c>
      <c r="G10" s="273" t="s">
        <v>1759</v>
      </c>
      <c r="H10" s="266" t="s">
        <v>1743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7" t="s">
        <v>1197</v>
      </c>
      <c r="J14" s="297"/>
      <c r="K14" s="265"/>
      <c r="L14" s="297" t="s">
        <v>1731</v>
      </c>
      <c r="M14" s="297"/>
      <c r="N14" s="297"/>
      <c r="O14" s="297"/>
    </row>
    <row r="15" spans="4:15" ht="15.75" x14ac:dyDescent="0.25">
      <c r="D15" s="264"/>
      <c r="E15" s="269" t="s">
        <v>1732</v>
      </c>
      <c r="F15" s="269" t="s">
        <v>1733</v>
      </c>
      <c r="G15" s="269" t="s">
        <v>1758</v>
      </c>
      <c r="H15" s="270" t="s">
        <v>1734</v>
      </c>
      <c r="I15" s="270" t="s">
        <v>1735</v>
      </c>
      <c r="J15" s="270" t="s">
        <v>1736</v>
      </c>
      <c r="K15" s="271"/>
      <c r="L15" s="270" t="s">
        <v>1737</v>
      </c>
      <c r="M15" s="270" t="s">
        <v>1738</v>
      </c>
      <c r="N15" s="270" t="s">
        <v>1736</v>
      </c>
      <c r="O15" s="270" t="s">
        <v>1739</v>
      </c>
    </row>
    <row r="16" spans="4:15" ht="31.5" x14ac:dyDescent="0.25">
      <c r="D16" s="266" t="s">
        <v>1750</v>
      </c>
      <c r="E16" s="266" t="s">
        <v>802</v>
      </c>
      <c r="F16" s="268" t="s">
        <v>1751</v>
      </c>
      <c r="G16" s="294" t="s">
        <v>1760</v>
      </c>
      <c r="H16" s="266" t="s">
        <v>1743</v>
      </c>
      <c r="I16" s="304" t="s">
        <v>1752</v>
      </c>
      <c r="J16" s="305"/>
      <c r="K16" s="265"/>
      <c r="L16" s="304" t="s">
        <v>1752</v>
      </c>
      <c r="M16" s="310"/>
      <c r="N16" s="310"/>
      <c r="O16" s="305"/>
    </row>
    <row r="17" spans="4:15" ht="31.5" x14ac:dyDescent="0.25">
      <c r="D17" s="266" t="s">
        <v>1753</v>
      </c>
      <c r="E17" s="266" t="s">
        <v>802</v>
      </c>
      <c r="F17" s="268" t="s">
        <v>1751</v>
      </c>
      <c r="G17" s="295"/>
      <c r="H17" s="266" t="s">
        <v>1743</v>
      </c>
      <c r="I17" s="306"/>
      <c r="J17" s="307"/>
      <c r="K17" s="265"/>
      <c r="L17" s="306"/>
      <c r="M17" s="311"/>
      <c r="N17" s="311"/>
      <c r="O17" s="307"/>
    </row>
    <row r="18" spans="4:15" ht="47.25" x14ac:dyDescent="0.25">
      <c r="D18" s="266" t="s">
        <v>1754</v>
      </c>
      <c r="E18" s="266" t="s">
        <v>802</v>
      </c>
      <c r="F18" s="268" t="s">
        <v>1755</v>
      </c>
      <c r="G18" s="295"/>
      <c r="H18" s="266" t="s">
        <v>1756</v>
      </c>
      <c r="I18" s="306"/>
      <c r="J18" s="307"/>
      <c r="K18" s="265"/>
      <c r="L18" s="306"/>
      <c r="M18" s="311"/>
      <c r="N18" s="311"/>
      <c r="O18" s="307"/>
    </row>
    <row r="19" spans="4:15" ht="15.75" x14ac:dyDescent="0.25">
      <c r="D19" s="266" t="s">
        <v>1757</v>
      </c>
      <c r="E19" s="266" t="s">
        <v>802</v>
      </c>
      <c r="F19" s="268" t="s">
        <v>1746</v>
      </c>
      <c r="G19" s="296"/>
      <c r="H19" s="266" t="s">
        <v>1747</v>
      </c>
      <c r="I19" s="308"/>
      <c r="J19" s="309"/>
      <c r="K19" s="265"/>
      <c r="L19" s="308"/>
      <c r="M19" s="312"/>
      <c r="N19" s="312"/>
      <c r="O19" s="309"/>
    </row>
    <row r="20" spans="4:15" ht="31.5" x14ac:dyDescent="0.25">
      <c r="D20" s="275" t="s">
        <v>1761</v>
      </c>
      <c r="E20" s="264"/>
      <c r="F20" s="264"/>
      <c r="G20" s="274" t="s">
        <v>1760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16060</v>
      </c>
      <c r="I2" s="1">
        <v>0</v>
      </c>
      <c r="J2" s="3">
        <v>4601003</v>
      </c>
      <c r="K2" s="3">
        <v>4584943</v>
      </c>
      <c r="L2" s="3">
        <v>4584943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3348191</v>
      </c>
      <c r="T2" s="3">
        <v>3348191</v>
      </c>
      <c r="U2" s="3">
        <v>460100</v>
      </c>
      <c r="V2" s="3">
        <v>460100</v>
      </c>
      <c r="W2" s="3">
        <v>460100</v>
      </c>
      <c r="X2" s="3">
        <v>460100</v>
      </c>
      <c r="Y2" s="3">
        <v>457424</v>
      </c>
      <c r="Z2" s="3">
        <v>457424</v>
      </c>
      <c r="AA2" s="4">
        <v>457424</v>
      </c>
      <c r="AB2" s="4">
        <v>457424</v>
      </c>
      <c r="AC2" s="4">
        <v>457424</v>
      </c>
      <c r="AD2" s="4">
        <v>457423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2297824</v>
      </c>
      <c r="AJ2" s="4">
        <v>2755248</v>
      </c>
      <c r="AK2" s="4">
        <v>3212672</v>
      </c>
      <c r="AL2" s="4">
        <v>3670096</v>
      </c>
      <c r="AM2" s="4">
        <v>4127520</v>
      </c>
      <c r="AN2" s="4">
        <v>4584943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6706</v>
      </c>
      <c r="I3" s="3">
        <v>0</v>
      </c>
      <c r="J3" s="3">
        <v>2309014</v>
      </c>
      <c r="K3" s="3">
        <v>2302308</v>
      </c>
      <c r="L3" s="3">
        <v>2302308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1649677</v>
      </c>
      <c r="T3" s="3">
        <v>1649677</v>
      </c>
      <c r="U3" s="3">
        <v>230901</v>
      </c>
      <c r="V3" s="3">
        <v>230901</v>
      </c>
      <c r="W3" s="3">
        <v>230901</v>
      </c>
      <c r="X3" s="3">
        <v>230901</v>
      </c>
      <c r="Y3" s="3">
        <v>229784</v>
      </c>
      <c r="Z3" s="3">
        <v>229784</v>
      </c>
      <c r="AA3" s="4">
        <v>229784</v>
      </c>
      <c r="AB3" s="4">
        <v>229784</v>
      </c>
      <c r="AC3" s="4">
        <v>229784</v>
      </c>
      <c r="AD3" s="4">
        <v>229784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1153388</v>
      </c>
      <c r="AJ3" s="4">
        <v>1383172</v>
      </c>
      <c r="AK3" s="4">
        <v>1612956</v>
      </c>
      <c r="AL3" s="4">
        <v>1842740</v>
      </c>
      <c r="AM3" s="4">
        <v>2072524</v>
      </c>
      <c r="AN3" s="4">
        <v>2302308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49504</v>
      </c>
      <c r="I4" s="1">
        <v>0</v>
      </c>
      <c r="J4" s="3">
        <v>17722059</v>
      </c>
      <c r="K4" s="3">
        <v>17672555</v>
      </c>
      <c r="L4" s="3">
        <v>17672555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14453063</v>
      </c>
      <c r="T4" s="3">
        <v>14453063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1763955</v>
      </c>
      <c r="Z4" s="3">
        <v>1763955</v>
      </c>
      <c r="AA4" s="4">
        <v>1763955</v>
      </c>
      <c r="AB4" s="4">
        <v>1763955</v>
      </c>
      <c r="AC4" s="4">
        <v>1763955</v>
      </c>
      <c r="AD4" s="4">
        <v>1763956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8852779</v>
      </c>
      <c r="AJ4" s="4">
        <v>10616734</v>
      </c>
      <c r="AK4" s="4">
        <v>12380689</v>
      </c>
      <c r="AL4" s="4">
        <v>14144644</v>
      </c>
      <c r="AM4" s="4">
        <v>15908599</v>
      </c>
      <c r="AN4" s="4">
        <v>17672555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12026</v>
      </c>
      <c r="I5" s="1">
        <v>0</v>
      </c>
      <c r="J5" s="3">
        <v>4232445</v>
      </c>
      <c r="K5" s="3">
        <v>4220419</v>
      </c>
      <c r="L5" s="3">
        <v>4220419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3272123</v>
      </c>
      <c r="T5" s="3">
        <v>3272123</v>
      </c>
      <c r="U5" s="3">
        <v>423245</v>
      </c>
      <c r="V5" s="3">
        <v>423245</v>
      </c>
      <c r="W5" s="3">
        <v>423245</v>
      </c>
      <c r="X5" s="3">
        <v>423245</v>
      </c>
      <c r="Y5" s="3">
        <v>421240</v>
      </c>
      <c r="Z5" s="3">
        <v>421240</v>
      </c>
      <c r="AA5" s="4">
        <v>421240</v>
      </c>
      <c r="AB5" s="4">
        <v>421240</v>
      </c>
      <c r="AC5" s="4">
        <v>421240</v>
      </c>
      <c r="AD5" s="4">
        <v>421239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2114220</v>
      </c>
      <c r="AJ5" s="4">
        <v>2535460</v>
      </c>
      <c r="AK5" s="4">
        <v>2956700</v>
      </c>
      <c r="AL5" s="4">
        <v>3377940</v>
      </c>
      <c r="AM5" s="4">
        <v>3799180</v>
      </c>
      <c r="AN5" s="4">
        <v>4220419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4704</v>
      </c>
      <c r="I6" s="3">
        <v>0</v>
      </c>
      <c r="J6" s="3">
        <v>1268860</v>
      </c>
      <c r="K6" s="3">
        <v>1264156</v>
      </c>
      <c r="L6" s="3">
        <v>1264156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853279</v>
      </c>
      <c r="T6" s="3">
        <v>853279</v>
      </c>
      <c r="U6" s="3">
        <v>126886</v>
      </c>
      <c r="V6" s="3">
        <v>126886</v>
      </c>
      <c r="W6" s="3">
        <v>126886</v>
      </c>
      <c r="X6" s="3">
        <v>126886</v>
      </c>
      <c r="Y6" s="3">
        <v>126102</v>
      </c>
      <c r="Z6" s="3">
        <v>126102</v>
      </c>
      <c r="AA6" s="4">
        <v>126102</v>
      </c>
      <c r="AB6" s="4">
        <v>126102</v>
      </c>
      <c r="AC6" s="4">
        <v>126102</v>
      </c>
      <c r="AD6" s="4">
        <v>126102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633646</v>
      </c>
      <c r="AJ6" s="4">
        <v>759748</v>
      </c>
      <c r="AK6" s="4">
        <v>885850</v>
      </c>
      <c r="AL6" s="4">
        <v>1011952</v>
      </c>
      <c r="AM6" s="4">
        <v>1138054</v>
      </c>
      <c r="AN6" s="4">
        <v>1264156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24645</v>
      </c>
      <c r="I7" s="3">
        <v>0</v>
      </c>
      <c r="J7" s="3">
        <v>9254148</v>
      </c>
      <c r="K7" s="3">
        <v>9229503</v>
      </c>
      <c r="L7" s="3">
        <v>9229503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7492008</v>
      </c>
      <c r="T7" s="3">
        <v>7492008</v>
      </c>
      <c r="U7" s="3">
        <v>925415</v>
      </c>
      <c r="V7" s="3">
        <v>925415</v>
      </c>
      <c r="W7" s="3">
        <v>925415</v>
      </c>
      <c r="X7" s="3">
        <v>925415</v>
      </c>
      <c r="Y7" s="3">
        <v>921307</v>
      </c>
      <c r="Z7" s="3">
        <v>921307</v>
      </c>
      <c r="AA7" s="4">
        <v>921307</v>
      </c>
      <c r="AB7" s="4">
        <v>921307</v>
      </c>
      <c r="AC7" s="4">
        <v>921307</v>
      </c>
      <c r="AD7" s="4">
        <v>921308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4622967</v>
      </c>
      <c r="AJ7" s="4">
        <v>5544274</v>
      </c>
      <c r="AK7" s="4">
        <v>6465581</v>
      </c>
      <c r="AL7" s="4">
        <v>7386888</v>
      </c>
      <c r="AM7" s="4">
        <v>8308195</v>
      </c>
      <c r="AN7" s="4">
        <v>9229503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12347</v>
      </c>
      <c r="I8" s="1">
        <v>0</v>
      </c>
      <c r="J8" s="3">
        <v>4093892</v>
      </c>
      <c r="K8" s="3">
        <v>4081545</v>
      </c>
      <c r="L8" s="3">
        <v>4081545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2990466</v>
      </c>
      <c r="T8" s="3">
        <v>2990466</v>
      </c>
      <c r="U8" s="3">
        <v>409389</v>
      </c>
      <c r="V8" s="3">
        <v>409389</v>
      </c>
      <c r="W8" s="3">
        <v>409389</v>
      </c>
      <c r="X8" s="3">
        <v>409389</v>
      </c>
      <c r="Y8" s="3">
        <v>407332</v>
      </c>
      <c r="Z8" s="3">
        <v>407332</v>
      </c>
      <c r="AA8" s="4">
        <v>407331</v>
      </c>
      <c r="AB8" s="4">
        <v>407331</v>
      </c>
      <c r="AC8" s="4">
        <v>407331</v>
      </c>
      <c r="AD8" s="4">
        <v>407332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2044888</v>
      </c>
      <c r="AJ8" s="4">
        <v>2452220</v>
      </c>
      <c r="AK8" s="4">
        <v>2859551</v>
      </c>
      <c r="AL8" s="4">
        <v>3266882</v>
      </c>
      <c r="AM8" s="4">
        <v>3674213</v>
      </c>
      <c r="AN8" s="4">
        <v>4081545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5778</v>
      </c>
      <c r="I9" s="1">
        <v>0</v>
      </c>
      <c r="J9" s="3">
        <v>1841694</v>
      </c>
      <c r="K9" s="3">
        <v>1835916</v>
      </c>
      <c r="L9" s="3">
        <v>1835916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1273845</v>
      </c>
      <c r="T9" s="3">
        <v>1273845</v>
      </c>
      <c r="U9" s="3">
        <v>184169</v>
      </c>
      <c r="V9" s="3">
        <v>184169</v>
      </c>
      <c r="W9" s="3">
        <v>184169</v>
      </c>
      <c r="X9" s="3">
        <v>184169</v>
      </c>
      <c r="Y9" s="3">
        <v>183207</v>
      </c>
      <c r="Z9" s="3">
        <v>183207</v>
      </c>
      <c r="AA9" s="4">
        <v>183207</v>
      </c>
      <c r="AB9" s="4">
        <v>183207</v>
      </c>
      <c r="AC9" s="4">
        <v>183207</v>
      </c>
      <c r="AD9" s="4">
        <v>183205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919883</v>
      </c>
      <c r="AJ9" s="4">
        <v>1103090</v>
      </c>
      <c r="AK9" s="4">
        <v>1286297</v>
      </c>
      <c r="AL9" s="4">
        <v>1469504</v>
      </c>
      <c r="AM9" s="4">
        <v>1652711</v>
      </c>
      <c r="AN9" s="4">
        <v>1835916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33000</v>
      </c>
      <c r="I10" s="1">
        <v>0</v>
      </c>
      <c r="J10" s="3">
        <v>9852698</v>
      </c>
      <c r="K10" s="3">
        <v>9819698</v>
      </c>
      <c r="L10" s="3">
        <v>9819698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7105735</v>
      </c>
      <c r="T10" s="3">
        <v>7105735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979770</v>
      </c>
      <c r="Z10" s="3">
        <v>979770</v>
      </c>
      <c r="AA10" s="4">
        <v>979770</v>
      </c>
      <c r="AB10" s="4">
        <v>979770</v>
      </c>
      <c r="AC10" s="4">
        <v>979770</v>
      </c>
      <c r="AD10" s="4">
        <v>979768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4920850</v>
      </c>
      <c r="AJ10" s="4">
        <v>5900620</v>
      </c>
      <c r="AK10" s="4">
        <v>6880390</v>
      </c>
      <c r="AL10" s="4">
        <v>7860160</v>
      </c>
      <c r="AM10" s="4">
        <v>8839930</v>
      </c>
      <c r="AN10" s="4">
        <v>9819698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25190</v>
      </c>
      <c r="I11" s="1">
        <v>0</v>
      </c>
      <c r="J11" s="3">
        <v>8558834</v>
      </c>
      <c r="K11" s="3">
        <v>8533644</v>
      </c>
      <c r="L11" s="3">
        <v>8533644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6423804</v>
      </c>
      <c r="T11" s="3">
        <v>6423804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851685</v>
      </c>
      <c r="Z11" s="3">
        <v>851685</v>
      </c>
      <c r="AA11" s="4">
        <v>851686</v>
      </c>
      <c r="AB11" s="4">
        <v>851686</v>
      </c>
      <c r="AC11" s="4">
        <v>851686</v>
      </c>
      <c r="AD11" s="4">
        <v>851684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4275217</v>
      </c>
      <c r="AJ11" s="4">
        <v>5126902</v>
      </c>
      <c r="AK11" s="4">
        <v>5978588</v>
      </c>
      <c r="AL11" s="4">
        <v>6830274</v>
      </c>
      <c r="AM11" s="4">
        <v>7681960</v>
      </c>
      <c r="AN11" s="4">
        <v>8533644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11923</v>
      </c>
      <c r="I12" s="1">
        <v>0</v>
      </c>
      <c r="J12" s="3">
        <v>4042802</v>
      </c>
      <c r="K12" s="3">
        <v>4030879</v>
      </c>
      <c r="L12" s="3">
        <v>4030879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3045068</v>
      </c>
      <c r="T12" s="3">
        <v>3045068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402293</v>
      </c>
      <c r="Z12" s="3">
        <v>402293</v>
      </c>
      <c r="AA12" s="4">
        <v>402293</v>
      </c>
      <c r="AB12" s="4">
        <v>402293</v>
      </c>
      <c r="AC12" s="4">
        <v>402293</v>
      </c>
      <c r="AD12" s="4">
        <v>402294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2019413</v>
      </c>
      <c r="AJ12" s="4">
        <v>2421706</v>
      </c>
      <c r="AK12" s="4">
        <v>2823999</v>
      </c>
      <c r="AL12" s="4">
        <v>3226292</v>
      </c>
      <c r="AM12" s="4">
        <v>3628585</v>
      </c>
      <c r="AN12" s="4">
        <v>4030879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19510</v>
      </c>
      <c r="I13" s="1">
        <v>0</v>
      </c>
      <c r="J13" s="3">
        <v>6017945</v>
      </c>
      <c r="K13" s="3">
        <v>5998435</v>
      </c>
      <c r="L13" s="3">
        <v>5998435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4378443</v>
      </c>
      <c r="T13" s="3">
        <v>4378443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598543</v>
      </c>
      <c r="Z13" s="3">
        <v>598543</v>
      </c>
      <c r="AA13" s="4">
        <v>598542</v>
      </c>
      <c r="AB13" s="4">
        <v>598542</v>
      </c>
      <c r="AC13" s="4">
        <v>598542</v>
      </c>
      <c r="AD13" s="4">
        <v>598543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3005723</v>
      </c>
      <c r="AJ13" s="4">
        <v>3604266</v>
      </c>
      <c r="AK13" s="4">
        <v>4202808</v>
      </c>
      <c r="AL13" s="4">
        <v>4801350</v>
      </c>
      <c r="AM13" s="4">
        <v>5399892</v>
      </c>
      <c r="AN13" s="4">
        <v>5998435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103386</v>
      </c>
      <c r="I14" s="1">
        <v>0</v>
      </c>
      <c r="J14" s="3">
        <v>28785111</v>
      </c>
      <c r="K14" s="3">
        <v>28681725</v>
      </c>
      <c r="L14" s="3">
        <v>28681725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21732880</v>
      </c>
      <c r="T14" s="3">
        <v>21732880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2861280</v>
      </c>
      <c r="Z14" s="3">
        <v>2861280</v>
      </c>
      <c r="AA14" s="4">
        <v>2861280</v>
      </c>
      <c r="AB14" s="4">
        <v>2861280</v>
      </c>
      <c r="AC14" s="4">
        <v>2861280</v>
      </c>
      <c r="AD14" s="4">
        <v>2861281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14375324</v>
      </c>
      <c r="AJ14" s="4">
        <v>17236604</v>
      </c>
      <c r="AK14" s="4">
        <v>20097884</v>
      </c>
      <c r="AL14" s="4">
        <v>22959164</v>
      </c>
      <c r="AM14" s="4">
        <v>25820444</v>
      </c>
      <c r="AN14" s="4">
        <v>28681725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27413</v>
      </c>
      <c r="I15" s="1">
        <v>0</v>
      </c>
      <c r="J15" s="3">
        <v>9642318</v>
      </c>
      <c r="K15" s="3">
        <v>9614905</v>
      </c>
      <c r="L15" s="3">
        <v>9614905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7390482</v>
      </c>
      <c r="T15" s="3">
        <v>7390482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959663</v>
      </c>
      <c r="Z15" s="3">
        <v>959663</v>
      </c>
      <c r="AA15" s="4">
        <v>959663</v>
      </c>
      <c r="AB15" s="4">
        <v>959663</v>
      </c>
      <c r="AC15" s="4">
        <v>959663</v>
      </c>
      <c r="AD15" s="4">
        <v>959662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4816591</v>
      </c>
      <c r="AJ15" s="4">
        <v>5776254</v>
      </c>
      <c r="AK15" s="4">
        <v>6735917</v>
      </c>
      <c r="AL15" s="4">
        <v>7695580</v>
      </c>
      <c r="AM15" s="4">
        <v>8655243</v>
      </c>
      <c r="AN15" s="4">
        <v>9614905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4955</v>
      </c>
      <c r="I16" s="1">
        <v>0</v>
      </c>
      <c r="J16" s="3">
        <v>1784862</v>
      </c>
      <c r="K16" s="3">
        <v>1779907</v>
      </c>
      <c r="L16" s="3">
        <v>1779907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1297641</v>
      </c>
      <c r="T16" s="3">
        <v>1297641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177661</v>
      </c>
      <c r="Z16" s="3">
        <v>177661</v>
      </c>
      <c r="AA16" s="4">
        <v>177660</v>
      </c>
      <c r="AB16" s="4">
        <v>177660</v>
      </c>
      <c r="AC16" s="4">
        <v>177660</v>
      </c>
      <c r="AD16" s="4">
        <v>177661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891605</v>
      </c>
      <c r="AJ16" s="4">
        <v>1069266</v>
      </c>
      <c r="AK16" s="4">
        <v>1246926</v>
      </c>
      <c r="AL16" s="4">
        <v>1424586</v>
      </c>
      <c r="AM16" s="4">
        <v>1602246</v>
      </c>
      <c r="AN16" s="4">
        <v>1779907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290817</v>
      </c>
      <c r="I17" s="1">
        <v>0</v>
      </c>
      <c r="J17" s="3">
        <v>95147132</v>
      </c>
      <c r="K17" s="3">
        <v>94856315</v>
      </c>
      <c r="L17" s="3">
        <v>94856315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76981835</v>
      </c>
      <c r="T17" s="3">
        <v>76981835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9466244</v>
      </c>
      <c r="Z17" s="3">
        <v>9466244</v>
      </c>
      <c r="AA17" s="4">
        <v>9466244</v>
      </c>
      <c r="AB17" s="4">
        <v>9466244</v>
      </c>
      <c r="AC17" s="4">
        <v>9466244</v>
      </c>
      <c r="AD17" s="4">
        <v>9466243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47525096</v>
      </c>
      <c r="AJ17" s="4">
        <v>56991340</v>
      </c>
      <c r="AK17" s="4">
        <v>66457584</v>
      </c>
      <c r="AL17" s="4">
        <v>75923828</v>
      </c>
      <c r="AM17" s="4">
        <v>85390072</v>
      </c>
      <c r="AN17" s="4">
        <v>94856315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18110</v>
      </c>
      <c r="I18" s="3">
        <v>0</v>
      </c>
      <c r="J18" s="3">
        <v>6657863</v>
      </c>
      <c r="K18" s="3">
        <v>6639753</v>
      </c>
      <c r="L18" s="3">
        <v>6639753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5162749</v>
      </c>
      <c r="T18" s="3">
        <v>5162749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662768</v>
      </c>
      <c r="Z18" s="3">
        <v>662768</v>
      </c>
      <c r="AA18" s="4">
        <v>662768</v>
      </c>
      <c r="AB18" s="4">
        <v>662768</v>
      </c>
      <c r="AC18" s="4">
        <v>662768</v>
      </c>
      <c r="AD18" s="4">
        <v>662769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3325912</v>
      </c>
      <c r="AJ18" s="4">
        <v>3988680</v>
      </c>
      <c r="AK18" s="4">
        <v>4651448</v>
      </c>
      <c r="AL18" s="4">
        <v>5314216</v>
      </c>
      <c r="AM18" s="4">
        <v>5976984</v>
      </c>
      <c r="AN18" s="4">
        <v>6639753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8916</v>
      </c>
      <c r="I19" s="1">
        <v>0</v>
      </c>
      <c r="J19" s="3">
        <v>2045057</v>
      </c>
      <c r="K19" s="3">
        <v>2036141</v>
      </c>
      <c r="L19" s="3">
        <v>2036141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1222482</v>
      </c>
      <c r="T19" s="3">
        <v>1222482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203020</v>
      </c>
      <c r="Z19" s="3">
        <v>203020</v>
      </c>
      <c r="AA19" s="4">
        <v>203019</v>
      </c>
      <c r="AB19" s="4">
        <v>203019</v>
      </c>
      <c r="AC19" s="4">
        <v>203019</v>
      </c>
      <c r="AD19" s="4">
        <v>203020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1021044</v>
      </c>
      <c r="AJ19" s="4">
        <v>1224064</v>
      </c>
      <c r="AK19" s="4">
        <v>1427083</v>
      </c>
      <c r="AL19" s="4">
        <v>1630102</v>
      </c>
      <c r="AM19" s="4">
        <v>1833121</v>
      </c>
      <c r="AN19" s="4">
        <v>2036141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6423</v>
      </c>
      <c r="I20" s="3">
        <v>0</v>
      </c>
      <c r="J20" s="3">
        <v>1629526</v>
      </c>
      <c r="K20" s="3">
        <v>1623103</v>
      </c>
      <c r="L20" s="3">
        <v>1623103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944380</v>
      </c>
      <c r="T20" s="3">
        <v>944380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161882</v>
      </c>
      <c r="Z20" s="3">
        <v>161882</v>
      </c>
      <c r="AA20" s="4">
        <v>161882</v>
      </c>
      <c r="AB20" s="4">
        <v>161882</v>
      </c>
      <c r="AC20" s="4">
        <v>161882</v>
      </c>
      <c r="AD20" s="4">
        <v>161881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813694</v>
      </c>
      <c r="AJ20" s="4">
        <v>975576</v>
      </c>
      <c r="AK20" s="4">
        <v>1137458</v>
      </c>
      <c r="AL20" s="4">
        <v>1299340</v>
      </c>
      <c r="AM20" s="4">
        <v>1461222</v>
      </c>
      <c r="AN20" s="4">
        <v>1623103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33116</v>
      </c>
      <c r="I21" s="1">
        <v>0</v>
      </c>
      <c r="J21" s="3">
        <v>12674696</v>
      </c>
      <c r="K21" s="3">
        <v>12641580</v>
      </c>
      <c r="L21" s="3">
        <v>12641580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10260060</v>
      </c>
      <c r="T21" s="3">
        <v>10260060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1261950</v>
      </c>
      <c r="Z21" s="3">
        <v>1261950</v>
      </c>
      <c r="AA21" s="4">
        <v>1261950</v>
      </c>
      <c r="AB21" s="4">
        <v>1261950</v>
      </c>
      <c r="AC21" s="4">
        <v>1261950</v>
      </c>
      <c r="AD21" s="4">
        <v>1261950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6331830</v>
      </c>
      <c r="AJ21" s="4">
        <v>7593780</v>
      </c>
      <c r="AK21" s="4">
        <v>8855730</v>
      </c>
      <c r="AL21" s="4">
        <v>10117680</v>
      </c>
      <c r="AM21" s="4">
        <v>11379630</v>
      </c>
      <c r="AN21" s="4">
        <v>12641580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11276</v>
      </c>
      <c r="I22" s="3">
        <v>0</v>
      </c>
      <c r="J22" s="3">
        <v>3401901</v>
      </c>
      <c r="K22" s="3">
        <v>3390625</v>
      </c>
      <c r="L22" s="3">
        <v>3390625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2393876</v>
      </c>
      <c r="T22" s="3">
        <v>2393876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338311</v>
      </c>
      <c r="Z22" s="3">
        <v>338311</v>
      </c>
      <c r="AA22" s="4">
        <v>338311</v>
      </c>
      <c r="AB22" s="4">
        <v>338311</v>
      </c>
      <c r="AC22" s="4">
        <v>338311</v>
      </c>
      <c r="AD22" s="4">
        <v>338310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1699071</v>
      </c>
      <c r="AJ22" s="4">
        <v>2037382</v>
      </c>
      <c r="AK22" s="4">
        <v>2375693</v>
      </c>
      <c r="AL22" s="4">
        <v>2714004</v>
      </c>
      <c r="AM22" s="4">
        <v>3052315</v>
      </c>
      <c r="AN22" s="4">
        <v>3390625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17973</v>
      </c>
      <c r="I23" s="1">
        <v>0</v>
      </c>
      <c r="J23" s="3">
        <v>5009091</v>
      </c>
      <c r="K23" s="3">
        <v>4991118</v>
      </c>
      <c r="L23" s="3">
        <v>4991118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3614210</v>
      </c>
      <c r="T23" s="3">
        <v>3614210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497914</v>
      </c>
      <c r="Z23" s="3">
        <v>497914</v>
      </c>
      <c r="AA23" s="4">
        <v>497914</v>
      </c>
      <c r="AB23" s="4">
        <v>497914</v>
      </c>
      <c r="AC23" s="4">
        <v>497914</v>
      </c>
      <c r="AD23" s="4">
        <v>497912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2501550</v>
      </c>
      <c r="AJ23" s="4">
        <v>2999464</v>
      </c>
      <c r="AK23" s="4">
        <v>3497378</v>
      </c>
      <c r="AL23" s="4">
        <v>3995292</v>
      </c>
      <c r="AM23" s="4">
        <v>4493206</v>
      </c>
      <c r="AN23" s="4">
        <v>4991118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40301</v>
      </c>
      <c r="I24" s="1">
        <v>0</v>
      </c>
      <c r="J24" s="3">
        <v>14876813</v>
      </c>
      <c r="K24" s="3">
        <v>14836512</v>
      </c>
      <c r="L24" s="3">
        <v>14836512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11968221</v>
      </c>
      <c r="T24" s="3">
        <v>11968221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1480965</v>
      </c>
      <c r="Z24" s="3">
        <v>1480965</v>
      </c>
      <c r="AA24" s="4">
        <v>1480965</v>
      </c>
      <c r="AB24" s="4">
        <v>1480965</v>
      </c>
      <c r="AC24" s="4">
        <v>1480965</v>
      </c>
      <c r="AD24" s="4">
        <v>1480963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7431689</v>
      </c>
      <c r="AJ24" s="4">
        <v>8912654</v>
      </c>
      <c r="AK24" s="4">
        <v>10393619</v>
      </c>
      <c r="AL24" s="4">
        <v>11874584</v>
      </c>
      <c r="AM24" s="4">
        <v>13355549</v>
      </c>
      <c r="AN24" s="4">
        <v>14836512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7778</v>
      </c>
      <c r="I25" s="3">
        <v>0</v>
      </c>
      <c r="J25" s="3">
        <v>3174016</v>
      </c>
      <c r="K25" s="3">
        <v>3166238</v>
      </c>
      <c r="L25" s="3">
        <v>3166238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2322792</v>
      </c>
      <c r="T25" s="3">
        <v>2322792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316105</v>
      </c>
      <c r="Z25" s="3">
        <v>316105</v>
      </c>
      <c r="AA25" s="4">
        <v>316105</v>
      </c>
      <c r="AB25" s="4">
        <v>316105</v>
      </c>
      <c r="AC25" s="4">
        <v>316105</v>
      </c>
      <c r="AD25" s="4">
        <v>316105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1585713</v>
      </c>
      <c r="AJ25" s="4">
        <v>1901818</v>
      </c>
      <c r="AK25" s="4">
        <v>2217923</v>
      </c>
      <c r="AL25" s="4">
        <v>2534028</v>
      </c>
      <c r="AM25" s="4">
        <v>2850133</v>
      </c>
      <c r="AN25" s="4">
        <v>3166238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10101</v>
      </c>
      <c r="I26" s="1">
        <v>0</v>
      </c>
      <c r="J26" s="3">
        <v>2967633</v>
      </c>
      <c r="K26" s="3">
        <v>2957532</v>
      </c>
      <c r="L26" s="3">
        <v>2957532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2043197</v>
      </c>
      <c r="T26" s="3">
        <v>2043197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295080</v>
      </c>
      <c r="Z26" s="3">
        <v>295080</v>
      </c>
      <c r="AA26" s="4">
        <v>295080</v>
      </c>
      <c r="AB26" s="4">
        <v>295080</v>
      </c>
      <c r="AC26" s="4">
        <v>295080</v>
      </c>
      <c r="AD26" s="4">
        <v>295080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1482132</v>
      </c>
      <c r="AJ26" s="4">
        <v>1777212</v>
      </c>
      <c r="AK26" s="4">
        <v>2072292</v>
      </c>
      <c r="AL26" s="4">
        <v>2367372</v>
      </c>
      <c r="AM26" s="4">
        <v>2662452</v>
      </c>
      <c r="AN26" s="4">
        <v>2957532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11367</v>
      </c>
      <c r="I27" s="1">
        <v>0</v>
      </c>
      <c r="J27" s="3">
        <v>3701755</v>
      </c>
      <c r="K27" s="3">
        <v>3690388</v>
      </c>
      <c r="L27" s="3">
        <v>3690388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2813930</v>
      </c>
      <c r="T27" s="3">
        <v>2813930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368281</v>
      </c>
      <c r="Z27" s="3">
        <v>368281</v>
      </c>
      <c r="AA27" s="4">
        <v>368281</v>
      </c>
      <c r="AB27" s="4">
        <v>368281</v>
      </c>
      <c r="AC27" s="4">
        <v>368281</v>
      </c>
      <c r="AD27" s="4">
        <v>368279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1848985</v>
      </c>
      <c r="AJ27" s="4">
        <v>2217266</v>
      </c>
      <c r="AK27" s="4">
        <v>2585547</v>
      </c>
      <c r="AL27" s="4">
        <v>2953828</v>
      </c>
      <c r="AM27" s="4">
        <v>3322109</v>
      </c>
      <c r="AN27" s="4">
        <v>3690388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10640</v>
      </c>
      <c r="I28" s="1">
        <v>0</v>
      </c>
      <c r="J28" s="3">
        <v>4068868</v>
      </c>
      <c r="K28" s="3">
        <v>4058228</v>
      </c>
      <c r="L28" s="3">
        <v>4058228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3117707</v>
      </c>
      <c r="T28" s="3">
        <v>3117707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405113</v>
      </c>
      <c r="Z28" s="3">
        <v>405113</v>
      </c>
      <c r="AA28" s="4">
        <v>405114</v>
      </c>
      <c r="AB28" s="4">
        <v>405114</v>
      </c>
      <c r="AC28" s="4">
        <v>405114</v>
      </c>
      <c r="AD28" s="4">
        <v>405112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2032661</v>
      </c>
      <c r="AJ28" s="4">
        <v>2437774</v>
      </c>
      <c r="AK28" s="4">
        <v>2842888</v>
      </c>
      <c r="AL28" s="4">
        <v>3248002</v>
      </c>
      <c r="AM28" s="4">
        <v>3653116</v>
      </c>
      <c r="AN28" s="4">
        <v>4058228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13766</v>
      </c>
      <c r="I29" s="3">
        <v>0</v>
      </c>
      <c r="J29" s="3">
        <v>4461344</v>
      </c>
      <c r="K29" s="3">
        <v>4447578</v>
      </c>
      <c r="L29" s="3">
        <v>4447578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3111542</v>
      </c>
      <c r="T29" s="3">
        <v>3111542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443840</v>
      </c>
      <c r="Z29" s="3">
        <v>443840</v>
      </c>
      <c r="AA29" s="4">
        <v>443841</v>
      </c>
      <c r="AB29" s="4">
        <v>443841</v>
      </c>
      <c r="AC29" s="4">
        <v>443841</v>
      </c>
      <c r="AD29" s="4">
        <v>443839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2228376</v>
      </c>
      <c r="AJ29" s="4">
        <v>2672216</v>
      </c>
      <c r="AK29" s="4">
        <v>3116057</v>
      </c>
      <c r="AL29" s="4">
        <v>3559898</v>
      </c>
      <c r="AM29" s="4">
        <v>4003739</v>
      </c>
      <c r="AN29" s="4">
        <v>4447578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16085</v>
      </c>
      <c r="I30" s="1">
        <v>0</v>
      </c>
      <c r="J30" s="3">
        <v>5473394</v>
      </c>
      <c r="K30" s="3">
        <v>5457309</v>
      </c>
      <c r="L30" s="3">
        <v>5457309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4188759</v>
      </c>
      <c r="T30" s="3">
        <v>4188759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544659</v>
      </c>
      <c r="Z30" s="3">
        <v>544659</v>
      </c>
      <c r="AA30" s="4">
        <v>544659</v>
      </c>
      <c r="AB30" s="4">
        <v>544659</v>
      </c>
      <c r="AC30" s="4">
        <v>544659</v>
      </c>
      <c r="AD30" s="4">
        <v>544658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2734015</v>
      </c>
      <c r="AJ30" s="4">
        <v>3278674</v>
      </c>
      <c r="AK30" s="4">
        <v>3823333</v>
      </c>
      <c r="AL30" s="4">
        <v>4367992</v>
      </c>
      <c r="AM30" s="4">
        <v>4912651</v>
      </c>
      <c r="AN30" s="4">
        <v>5457309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3765</v>
      </c>
      <c r="I31" s="3">
        <v>0</v>
      </c>
      <c r="J31" s="3">
        <v>1190626</v>
      </c>
      <c r="K31" s="3">
        <v>1186861</v>
      </c>
      <c r="L31" s="3">
        <v>1186861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846729</v>
      </c>
      <c r="T31" s="3">
        <v>846729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118435</v>
      </c>
      <c r="Z31" s="3">
        <v>118435</v>
      </c>
      <c r="AA31" s="4">
        <v>118435</v>
      </c>
      <c r="AB31" s="4">
        <v>118435</v>
      </c>
      <c r="AC31" s="4">
        <v>118435</v>
      </c>
      <c r="AD31" s="4">
        <v>118434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594687</v>
      </c>
      <c r="AJ31" s="4">
        <v>713122</v>
      </c>
      <c r="AK31" s="4">
        <v>831557</v>
      </c>
      <c r="AL31" s="4">
        <v>949992</v>
      </c>
      <c r="AM31" s="4">
        <v>1068427</v>
      </c>
      <c r="AN31" s="4">
        <v>1186861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33647</v>
      </c>
      <c r="I32" s="1">
        <v>0</v>
      </c>
      <c r="J32" s="3">
        <v>10358537</v>
      </c>
      <c r="K32" s="3">
        <v>10324890</v>
      </c>
      <c r="L32" s="3">
        <v>10324890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7832619</v>
      </c>
      <c r="T32" s="3">
        <v>7832619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1030246</v>
      </c>
      <c r="Z32" s="3">
        <v>1030246</v>
      </c>
      <c r="AA32" s="4">
        <v>1030246</v>
      </c>
      <c r="AB32" s="4">
        <v>1030246</v>
      </c>
      <c r="AC32" s="4">
        <v>1030246</v>
      </c>
      <c r="AD32" s="4">
        <v>1030244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5173662</v>
      </c>
      <c r="AJ32" s="4">
        <v>6203908</v>
      </c>
      <c r="AK32" s="4">
        <v>7234154</v>
      </c>
      <c r="AL32" s="4">
        <v>8264400</v>
      </c>
      <c r="AM32" s="4">
        <v>9294646</v>
      </c>
      <c r="AN32" s="4">
        <v>10324890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87233</v>
      </c>
      <c r="I33" s="1">
        <v>0</v>
      </c>
      <c r="J33" s="3">
        <v>29257302</v>
      </c>
      <c r="K33" s="3">
        <v>29170069</v>
      </c>
      <c r="L33" s="3">
        <v>29170069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23109934</v>
      </c>
      <c r="T33" s="3">
        <v>23109934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2911192</v>
      </c>
      <c r="Z33" s="3">
        <v>2911192</v>
      </c>
      <c r="AA33" s="4">
        <v>2911191</v>
      </c>
      <c r="AB33" s="4">
        <v>2911191</v>
      </c>
      <c r="AC33" s="4">
        <v>2911191</v>
      </c>
      <c r="AD33" s="4">
        <v>2911192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14614112</v>
      </c>
      <c r="AJ33" s="4">
        <v>17525304</v>
      </c>
      <c r="AK33" s="4">
        <v>20436495</v>
      </c>
      <c r="AL33" s="4">
        <v>23347686</v>
      </c>
      <c r="AM33" s="4">
        <v>26258877</v>
      </c>
      <c r="AN33" s="4">
        <v>29170069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17993</v>
      </c>
      <c r="I34" s="1">
        <v>0</v>
      </c>
      <c r="J34" s="3">
        <v>5280800</v>
      </c>
      <c r="K34" s="3">
        <v>5262807</v>
      </c>
      <c r="L34" s="3">
        <v>5262807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3497112</v>
      </c>
      <c r="T34" s="3">
        <v>3497112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525081</v>
      </c>
      <c r="Z34" s="3">
        <v>525081</v>
      </c>
      <c r="AA34" s="4">
        <v>525081</v>
      </c>
      <c r="AB34" s="4">
        <v>525081</v>
      </c>
      <c r="AC34" s="4">
        <v>525081</v>
      </c>
      <c r="AD34" s="4">
        <v>525082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2637401</v>
      </c>
      <c r="AJ34" s="4">
        <v>3162482</v>
      </c>
      <c r="AK34" s="4">
        <v>3687563</v>
      </c>
      <c r="AL34" s="4">
        <v>4212644</v>
      </c>
      <c r="AM34" s="4">
        <v>4737725</v>
      </c>
      <c r="AN34" s="4">
        <v>5262807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60709</v>
      </c>
      <c r="I35" s="1">
        <v>0</v>
      </c>
      <c r="J35" s="3">
        <v>21859113</v>
      </c>
      <c r="K35" s="3">
        <v>21798404</v>
      </c>
      <c r="L35" s="3">
        <v>21798404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17933790</v>
      </c>
      <c r="T35" s="3">
        <v>17933790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2175793</v>
      </c>
      <c r="Z35" s="3">
        <v>2175793</v>
      </c>
      <c r="AA35" s="4">
        <v>2175794</v>
      </c>
      <c r="AB35" s="4">
        <v>2175794</v>
      </c>
      <c r="AC35" s="4">
        <v>2175794</v>
      </c>
      <c r="AD35" s="4">
        <v>2175792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10919437</v>
      </c>
      <c r="AJ35" s="4">
        <v>13095230</v>
      </c>
      <c r="AK35" s="4">
        <v>15271024</v>
      </c>
      <c r="AL35" s="4">
        <v>17446818</v>
      </c>
      <c r="AM35" s="4">
        <v>19622612</v>
      </c>
      <c r="AN35" s="4">
        <v>21798404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45240</v>
      </c>
      <c r="I36" s="1">
        <v>0</v>
      </c>
      <c r="J36" s="3">
        <v>17525538</v>
      </c>
      <c r="K36" s="3">
        <v>17480298</v>
      </c>
      <c r="L36" s="3">
        <v>17480298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14310728</v>
      </c>
      <c r="T36" s="3">
        <v>14310728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1745014</v>
      </c>
      <c r="Z36" s="3">
        <v>1745014</v>
      </c>
      <c r="AA36" s="4">
        <v>1745014</v>
      </c>
      <c r="AB36" s="4">
        <v>1745014</v>
      </c>
      <c r="AC36" s="4">
        <v>1745014</v>
      </c>
      <c r="AD36" s="4">
        <v>1745012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8755230</v>
      </c>
      <c r="AJ36" s="4">
        <v>10500244</v>
      </c>
      <c r="AK36" s="4">
        <v>12245258</v>
      </c>
      <c r="AL36" s="4">
        <v>13990272</v>
      </c>
      <c r="AM36" s="4">
        <v>15735286</v>
      </c>
      <c r="AN36" s="4">
        <v>17480298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12466</v>
      </c>
      <c r="I37" s="1">
        <v>0</v>
      </c>
      <c r="J37" s="3">
        <v>4710511</v>
      </c>
      <c r="K37" s="3">
        <v>4698045</v>
      </c>
      <c r="L37" s="3">
        <v>4698045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3204751</v>
      </c>
      <c r="T37" s="3">
        <v>3204751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468974</v>
      </c>
      <c r="Z37" s="3">
        <v>468974</v>
      </c>
      <c r="AA37" s="4">
        <v>468973</v>
      </c>
      <c r="AB37" s="4">
        <v>468973</v>
      </c>
      <c r="AC37" s="4">
        <v>468973</v>
      </c>
      <c r="AD37" s="4">
        <v>468974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2353178</v>
      </c>
      <c r="AJ37" s="4">
        <v>2822152</v>
      </c>
      <c r="AK37" s="4">
        <v>3291125</v>
      </c>
      <c r="AL37" s="4">
        <v>3760098</v>
      </c>
      <c r="AM37" s="4">
        <v>4229071</v>
      </c>
      <c r="AN37" s="4">
        <v>4698045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13406</v>
      </c>
      <c r="I38" s="1">
        <v>0</v>
      </c>
      <c r="J38" s="3">
        <v>4055045</v>
      </c>
      <c r="K38" s="3">
        <v>4041639</v>
      </c>
      <c r="L38" s="3">
        <v>4041639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2931902</v>
      </c>
      <c r="T38" s="3">
        <v>2931902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403270</v>
      </c>
      <c r="Z38" s="3">
        <v>403270</v>
      </c>
      <c r="AA38" s="4">
        <v>403270</v>
      </c>
      <c r="AB38" s="4">
        <v>403270</v>
      </c>
      <c r="AC38" s="4">
        <v>403270</v>
      </c>
      <c r="AD38" s="4">
        <v>403269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2025290</v>
      </c>
      <c r="AJ38" s="4">
        <v>2428560</v>
      </c>
      <c r="AK38" s="4">
        <v>2831830</v>
      </c>
      <c r="AL38" s="4">
        <v>3235100</v>
      </c>
      <c r="AM38" s="4">
        <v>3638370</v>
      </c>
      <c r="AN38" s="4">
        <v>4041639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11821</v>
      </c>
      <c r="I39" s="1">
        <v>0</v>
      </c>
      <c r="J39" s="3">
        <v>3922609</v>
      </c>
      <c r="K39" s="3">
        <v>3910788</v>
      </c>
      <c r="L39" s="3">
        <v>3910788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2944548</v>
      </c>
      <c r="T39" s="3">
        <v>2944548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390291</v>
      </c>
      <c r="Z39" s="3">
        <v>390291</v>
      </c>
      <c r="AA39" s="4">
        <v>390291</v>
      </c>
      <c r="AB39" s="4">
        <v>390291</v>
      </c>
      <c r="AC39" s="4">
        <v>390291</v>
      </c>
      <c r="AD39" s="4">
        <v>390289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1959335</v>
      </c>
      <c r="AJ39" s="4">
        <v>2349626</v>
      </c>
      <c r="AK39" s="4">
        <v>2739917</v>
      </c>
      <c r="AL39" s="4">
        <v>3130208</v>
      </c>
      <c r="AM39" s="4">
        <v>3520499</v>
      </c>
      <c r="AN39" s="4">
        <v>3910788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10393</v>
      </c>
      <c r="I40" s="1">
        <v>0</v>
      </c>
      <c r="J40" s="3">
        <v>2651771</v>
      </c>
      <c r="K40" s="3">
        <v>2641378</v>
      </c>
      <c r="L40" s="3">
        <v>2641378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1693264</v>
      </c>
      <c r="T40" s="3">
        <v>1693264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263445</v>
      </c>
      <c r="Z40" s="3">
        <v>263445</v>
      </c>
      <c r="AA40" s="4">
        <v>263445</v>
      </c>
      <c r="AB40" s="4">
        <v>263445</v>
      </c>
      <c r="AC40" s="4">
        <v>263445</v>
      </c>
      <c r="AD40" s="4">
        <v>263445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1324153</v>
      </c>
      <c r="AJ40" s="4">
        <v>1587598</v>
      </c>
      <c r="AK40" s="4">
        <v>1851043</v>
      </c>
      <c r="AL40" s="4">
        <v>2114488</v>
      </c>
      <c r="AM40" s="4">
        <v>2377933</v>
      </c>
      <c r="AN40" s="4">
        <v>2641378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83755</v>
      </c>
      <c r="I41" s="3">
        <v>0</v>
      </c>
      <c r="J41" s="3">
        <v>37111689</v>
      </c>
      <c r="K41" s="3">
        <v>37027934</v>
      </c>
      <c r="L41" s="3">
        <v>37027934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30944845</v>
      </c>
      <c r="T41" s="3">
        <v>30944845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3697210</v>
      </c>
      <c r="Z41" s="3">
        <v>3697210</v>
      </c>
      <c r="AA41" s="4">
        <v>3697210</v>
      </c>
      <c r="AB41" s="4">
        <v>3697210</v>
      </c>
      <c r="AC41" s="4">
        <v>3697210</v>
      </c>
      <c r="AD41" s="4">
        <v>3697208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18541886</v>
      </c>
      <c r="AJ41" s="4">
        <v>22239096</v>
      </c>
      <c r="AK41" s="4">
        <v>25936306</v>
      </c>
      <c r="AL41" s="4">
        <v>29633516</v>
      </c>
      <c r="AM41" s="4">
        <v>33330726</v>
      </c>
      <c r="AN41" s="4">
        <v>37027934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9563</v>
      </c>
      <c r="I42" s="3">
        <v>0</v>
      </c>
      <c r="J42" s="3">
        <v>2207290</v>
      </c>
      <c r="K42" s="3">
        <v>2197727</v>
      </c>
      <c r="L42" s="3">
        <v>2197727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1157988</v>
      </c>
      <c r="T42" s="3">
        <v>1157988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219135</v>
      </c>
      <c r="Z42" s="3">
        <v>219135</v>
      </c>
      <c r="AA42" s="4">
        <v>219135</v>
      </c>
      <c r="AB42" s="4">
        <v>219135</v>
      </c>
      <c r="AC42" s="4">
        <v>219135</v>
      </c>
      <c r="AD42" s="4">
        <v>219136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1102051</v>
      </c>
      <c r="AJ42" s="4">
        <v>1321186</v>
      </c>
      <c r="AK42" s="4">
        <v>1540321</v>
      </c>
      <c r="AL42" s="4">
        <v>1759456</v>
      </c>
      <c r="AM42" s="4">
        <v>1978591</v>
      </c>
      <c r="AN42" s="4">
        <v>2197727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6319</v>
      </c>
      <c r="I43" s="3">
        <v>0</v>
      </c>
      <c r="J43" s="3">
        <v>2214392</v>
      </c>
      <c r="K43" s="3">
        <v>2208073</v>
      </c>
      <c r="L43" s="3">
        <v>2208073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1606532</v>
      </c>
      <c r="T43" s="3">
        <v>1606532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220386</v>
      </c>
      <c r="Z43" s="3">
        <v>220386</v>
      </c>
      <c r="AA43" s="4">
        <v>220386</v>
      </c>
      <c r="AB43" s="4">
        <v>220386</v>
      </c>
      <c r="AC43" s="4">
        <v>220386</v>
      </c>
      <c r="AD43" s="4">
        <v>220387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1106142</v>
      </c>
      <c r="AJ43" s="4">
        <v>1326528</v>
      </c>
      <c r="AK43" s="4">
        <v>1546914</v>
      </c>
      <c r="AL43" s="4">
        <v>1767300</v>
      </c>
      <c r="AM43" s="4">
        <v>1987686</v>
      </c>
      <c r="AN43" s="4">
        <v>2208073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7995</v>
      </c>
      <c r="I44" s="1">
        <v>0</v>
      </c>
      <c r="J44" s="3">
        <v>2845825</v>
      </c>
      <c r="K44" s="3">
        <v>2837830</v>
      </c>
      <c r="L44" s="3">
        <v>2837830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1998869</v>
      </c>
      <c r="T44" s="3">
        <v>1998869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283250</v>
      </c>
      <c r="Z44" s="3">
        <v>283250</v>
      </c>
      <c r="AA44" s="4">
        <v>283250</v>
      </c>
      <c r="AB44" s="4">
        <v>283250</v>
      </c>
      <c r="AC44" s="4">
        <v>283250</v>
      </c>
      <c r="AD44" s="4">
        <v>283248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1421582</v>
      </c>
      <c r="AJ44" s="4">
        <v>1704832</v>
      </c>
      <c r="AK44" s="4">
        <v>1988082</v>
      </c>
      <c r="AL44" s="4">
        <v>2271332</v>
      </c>
      <c r="AM44" s="4">
        <v>2554582</v>
      </c>
      <c r="AN44" s="4">
        <v>2837830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18431</v>
      </c>
      <c r="I45" s="1">
        <v>0</v>
      </c>
      <c r="J45" s="3">
        <v>6654675</v>
      </c>
      <c r="K45" s="3">
        <v>6636244</v>
      </c>
      <c r="L45" s="3">
        <v>6636244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4926990</v>
      </c>
      <c r="T45" s="3">
        <v>4926990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662395</v>
      </c>
      <c r="Z45" s="3">
        <v>662395</v>
      </c>
      <c r="AA45" s="4">
        <v>662396</v>
      </c>
      <c r="AB45" s="4">
        <v>662396</v>
      </c>
      <c r="AC45" s="4">
        <v>662396</v>
      </c>
      <c r="AD45" s="4">
        <v>662394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3324267</v>
      </c>
      <c r="AJ45" s="4">
        <v>3986662</v>
      </c>
      <c r="AK45" s="4">
        <v>4649058</v>
      </c>
      <c r="AL45" s="4">
        <v>5311454</v>
      </c>
      <c r="AM45" s="4">
        <v>5973850</v>
      </c>
      <c r="AN45" s="4">
        <v>6636244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12466</v>
      </c>
      <c r="I46" s="3">
        <v>0</v>
      </c>
      <c r="J46" s="3">
        <v>5443896</v>
      </c>
      <c r="K46" s="3">
        <v>5431430</v>
      </c>
      <c r="L46" s="3">
        <v>5431430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3927970</v>
      </c>
      <c r="T46" s="3">
        <v>3927970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542312</v>
      </c>
      <c r="Z46" s="3">
        <v>542312</v>
      </c>
      <c r="AA46" s="4">
        <v>542312</v>
      </c>
      <c r="AB46" s="4">
        <v>542312</v>
      </c>
      <c r="AC46" s="4">
        <v>542312</v>
      </c>
      <c r="AD46" s="4">
        <v>542310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2719872</v>
      </c>
      <c r="AJ46" s="4">
        <v>3262184</v>
      </c>
      <c r="AK46" s="4">
        <v>3804496</v>
      </c>
      <c r="AL46" s="4">
        <v>4346808</v>
      </c>
      <c r="AM46" s="4">
        <v>4889120</v>
      </c>
      <c r="AN46" s="4">
        <v>5431430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43945</v>
      </c>
      <c r="I47" s="1">
        <v>0</v>
      </c>
      <c r="J47" s="3">
        <v>17541308</v>
      </c>
      <c r="K47" s="3">
        <v>17497363</v>
      </c>
      <c r="L47" s="3">
        <v>17497363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14495236</v>
      </c>
      <c r="T47" s="3">
        <v>14495236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1746807</v>
      </c>
      <c r="Z47" s="3">
        <v>1746807</v>
      </c>
      <c r="AA47" s="4">
        <v>1746806</v>
      </c>
      <c r="AB47" s="4">
        <v>1746806</v>
      </c>
      <c r="AC47" s="4">
        <v>1746806</v>
      </c>
      <c r="AD47" s="4">
        <v>1746807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8763331</v>
      </c>
      <c r="AJ47" s="4">
        <v>10510138</v>
      </c>
      <c r="AK47" s="4">
        <v>12256944</v>
      </c>
      <c r="AL47" s="4">
        <v>14003750</v>
      </c>
      <c r="AM47" s="4">
        <v>15750556</v>
      </c>
      <c r="AN47" s="4">
        <v>17497363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35323</v>
      </c>
      <c r="I48" s="1">
        <v>0</v>
      </c>
      <c r="J48" s="3">
        <v>11197626</v>
      </c>
      <c r="K48" s="3">
        <v>11162303</v>
      </c>
      <c r="L48" s="3">
        <v>11162303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7503728</v>
      </c>
      <c r="T48" s="3">
        <v>7503728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1113875</v>
      </c>
      <c r="Z48" s="3">
        <v>1113875</v>
      </c>
      <c r="AA48" s="4">
        <v>1113875</v>
      </c>
      <c r="AB48" s="4">
        <v>1113875</v>
      </c>
      <c r="AC48" s="4">
        <v>1113875</v>
      </c>
      <c r="AD48" s="4">
        <v>1113876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5592927</v>
      </c>
      <c r="AJ48" s="4">
        <v>6706802</v>
      </c>
      <c r="AK48" s="4">
        <v>7820677</v>
      </c>
      <c r="AL48" s="4">
        <v>8934552</v>
      </c>
      <c r="AM48" s="4">
        <v>10048427</v>
      </c>
      <c r="AN48" s="4">
        <v>11162303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124611</v>
      </c>
      <c r="I49" s="1">
        <v>0</v>
      </c>
      <c r="J49" s="3">
        <v>43001009</v>
      </c>
      <c r="K49" s="3">
        <v>42876398</v>
      </c>
      <c r="L49" s="3">
        <v>42876398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34840137</v>
      </c>
      <c r="T49" s="3">
        <v>34840137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4279332</v>
      </c>
      <c r="Z49" s="3">
        <v>4279332</v>
      </c>
      <c r="AA49" s="4">
        <v>4279333</v>
      </c>
      <c r="AB49" s="4">
        <v>4279333</v>
      </c>
      <c r="AC49" s="4">
        <v>4279333</v>
      </c>
      <c r="AD49" s="4">
        <v>4279331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21479736</v>
      </c>
      <c r="AJ49" s="4">
        <v>25759068</v>
      </c>
      <c r="AK49" s="4">
        <v>30038401</v>
      </c>
      <c r="AL49" s="4">
        <v>34317734</v>
      </c>
      <c r="AM49" s="4">
        <v>38597067</v>
      </c>
      <c r="AN49" s="4">
        <v>42876398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367591</v>
      </c>
      <c r="I50" s="1">
        <v>0</v>
      </c>
      <c r="J50" s="3">
        <v>134327536</v>
      </c>
      <c r="K50" s="3">
        <v>133959945</v>
      </c>
      <c r="L50" s="3">
        <v>133959945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108929437</v>
      </c>
      <c r="T50" s="3">
        <v>108929437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13371488</v>
      </c>
      <c r="Z50" s="3">
        <v>13371488</v>
      </c>
      <c r="AA50" s="4">
        <v>13371488</v>
      </c>
      <c r="AB50" s="4">
        <v>13371488</v>
      </c>
      <c r="AC50" s="4">
        <v>13371488</v>
      </c>
      <c r="AD50" s="4">
        <v>13371489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67102504</v>
      </c>
      <c r="AJ50" s="4">
        <v>80473992</v>
      </c>
      <c r="AK50" s="4">
        <v>93845480</v>
      </c>
      <c r="AL50" s="4">
        <v>107216968</v>
      </c>
      <c r="AM50" s="4">
        <v>120588456</v>
      </c>
      <c r="AN50" s="4">
        <v>133959945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25794</v>
      </c>
      <c r="I51" s="1">
        <v>0</v>
      </c>
      <c r="J51" s="3">
        <v>9324305</v>
      </c>
      <c r="K51" s="3">
        <v>9298511</v>
      </c>
      <c r="L51" s="3">
        <v>9298511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7366649</v>
      </c>
      <c r="T51" s="3">
        <v>7366649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928131</v>
      </c>
      <c r="Z51" s="3">
        <v>928131</v>
      </c>
      <c r="AA51" s="4">
        <v>928131</v>
      </c>
      <c r="AB51" s="4">
        <v>928131</v>
      </c>
      <c r="AC51" s="4">
        <v>928131</v>
      </c>
      <c r="AD51" s="4">
        <v>928132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4657855</v>
      </c>
      <c r="AJ51" s="4">
        <v>5585986</v>
      </c>
      <c r="AK51" s="4">
        <v>6514117</v>
      </c>
      <c r="AL51" s="4">
        <v>7442248</v>
      </c>
      <c r="AM51" s="4">
        <v>8370379</v>
      </c>
      <c r="AN51" s="4">
        <v>9298511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28825</v>
      </c>
      <c r="I52" s="1">
        <v>0</v>
      </c>
      <c r="J52" s="3">
        <v>11812604</v>
      </c>
      <c r="K52" s="3">
        <v>11783779</v>
      </c>
      <c r="L52" s="3">
        <v>11783779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9674806</v>
      </c>
      <c r="T52" s="3">
        <v>9674806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1176457</v>
      </c>
      <c r="Z52" s="3">
        <v>1176457</v>
      </c>
      <c r="AA52" s="4">
        <v>1176456</v>
      </c>
      <c r="AB52" s="4">
        <v>1176456</v>
      </c>
      <c r="AC52" s="4">
        <v>1176456</v>
      </c>
      <c r="AD52" s="4">
        <v>1176457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5901497</v>
      </c>
      <c r="AJ52" s="4">
        <v>7077954</v>
      </c>
      <c r="AK52" s="4">
        <v>8254410</v>
      </c>
      <c r="AL52" s="4">
        <v>9430866</v>
      </c>
      <c r="AM52" s="4">
        <v>10607322</v>
      </c>
      <c r="AN52" s="4">
        <v>11783779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19263</v>
      </c>
      <c r="I53" s="1">
        <v>0</v>
      </c>
      <c r="J53" s="3">
        <v>6439098</v>
      </c>
      <c r="K53" s="3">
        <v>6419835</v>
      </c>
      <c r="L53" s="3">
        <v>6419835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4890519</v>
      </c>
      <c r="T53" s="3">
        <v>4890519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640699</v>
      </c>
      <c r="Z53" s="3">
        <v>640699</v>
      </c>
      <c r="AA53" s="4">
        <v>640699</v>
      </c>
      <c r="AB53" s="4">
        <v>640699</v>
      </c>
      <c r="AC53" s="4">
        <v>640699</v>
      </c>
      <c r="AD53" s="4">
        <v>640700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3216339</v>
      </c>
      <c r="AJ53" s="4">
        <v>3857038</v>
      </c>
      <c r="AK53" s="4">
        <v>4497737</v>
      </c>
      <c r="AL53" s="4">
        <v>5138436</v>
      </c>
      <c r="AM53" s="4">
        <v>5779135</v>
      </c>
      <c r="AN53" s="4">
        <v>6419835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10400</v>
      </c>
      <c r="I54" s="1">
        <v>0</v>
      </c>
      <c r="J54" s="3">
        <v>3795622</v>
      </c>
      <c r="K54" s="3">
        <v>3785222</v>
      </c>
      <c r="L54" s="3">
        <v>3785222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2902556</v>
      </c>
      <c r="T54" s="3">
        <v>2902556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377829</v>
      </c>
      <c r="Z54" s="3">
        <v>377829</v>
      </c>
      <c r="AA54" s="4">
        <v>377829</v>
      </c>
      <c r="AB54" s="4">
        <v>377829</v>
      </c>
      <c r="AC54" s="4">
        <v>377829</v>
      </c>
      <c r="AD54" s="4">
        <v>377829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1896077</v>
      </c>
      <c r="AJ54" s="4">
        <v>2273906</v>
      </c>
      <c r="AK54" s="4">
        <v>2651735</v>
      </c>
      <c r="AL54" s="4">
        <v>3029564</v>
      </c>
      <c r="AM54" s="4">
        <v>3407393</v>
      </c>
      <c r="AN54" s="4">
        <v>3785222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33301</v>
      </c>
      <c r="I55" s="1">
        <v>0</v>
      </c>
      <c r="J55" s="3">
        <v>12132361</v>
      </c>
      <c r="K55" s="3">
        <v>12099060</v>
      </c>
      <c r="L55" s="3">
        <v>12099060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9142780</v>
      </c>
      <c r="T55" s="3">
        <v>9142780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1207686</v>
      </c>
      <c r="Z55" s="3">
        <v>1207686</v>
      </c>
      <c r="AA55" s="4">
        <v>1207686</v>
      </c>
      <c r="AB55" s="4">
        <v>1207686</v>
      </c>
      <c r="AC55" s="4">
        <v>1207686</v>
      </c>
      <c r="AD55" s="4">
        <v>1207686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6060630</v>
      </c>
      <c r="AJ55" s="4">
        <v>7268316</v>
      </c>
      <c r="AK55" s="4">
        <v>8476002</v>
      </c>
      <c r="AL55" s="4">
        <v>9683688</v>
      </c>
      <c r="AM55" s="4">
        <v>10891374</v>
      </c>
      <c r="AN55" s="4">
        <v>12099060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9379</v>
      </c>
      <c r="I56" s="1">
        <v>0</v>
      </c>
      <c r="J56" s="3">
        <v>3557370</v>
      </c>
      <c r="K56" s="3">
        <v>3547991</v>
      </c>
      <c r="L56" s="3">
        <v>3547991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2612604</v>
      </c>
      <c r="T56" s="3">
        <v>2612604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354174</v>
      </c>
      <c r="Z56" s="3">
        <v>354174</v>
      </c>
      <c r="AA56" s="4">
        <v>354174</v>
      </c>
      <c r="AB56" s="4">
        <v>354174</v>
      </c>
      <c r="AC56" s="4">
        <v>354174</v>
      </c>
      <c r="AD56" s="4">
        <v>354173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1777122</v>
      </c>
      <c r="AJ56" s="4">
        <v>2131296</v>
      </c>
      <c r="AK56" s="4">
        <v>2485470</v>
      </c>
      <c r="AL56" s="4">
        <v>2839644</v>
      </c>
      <c r="AM56" s="4">
        <v>3193818</v>
      </c>
      <c r="AN56" s="4">
        <v>3547991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13716</v>
      </c>
      <c r="I57" s="1">
        <v>0</v>
      </c>
      <c r="J57" s="3">
        <v>6035792</v>
      </c>
      <c r="K57" s="3">
        <v>6022076</v>
      </c>
      <c r="L57" s="3">
        <v>6022076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4785595</v>
      </c>
      <c r="T57" s="3">
        <v>4785595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601293</v>
      </c>
      <c r="Z57" s="3">
        <v>601293</v>
      </c>
      <c r="AA57" s="4">
        <v>601294</v>
      </c>
      <c r="AB57" s="4">
        <v>601294</v>
      </c>
      <c r="AC57" s="4">
        <v>601294</v>
      </c>
      <c r="AD57" s="4">
        <v>601292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3015609</v>
      </c>
      <c r="AJ57" s="4">
        <v>3616902</v>
      </c>
      <c r="AK57" s="4">
        <v>4218196</v>
      </c>
      <c r="AL57" s="4">
        <v>4819490</v>
      </c>
      <c r="AM57" s="4">
        <v>5420784</v>
      </c>
      <c r="AN57" s="4">
        <v>6022076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16710</v>
      </c>
      <c r="I58" s="3">
        <v>0</v>
      </c>
      <c r="J58" s="3">
        <v>5575552</v>
      </c>
      <c r="K58" s="3">
        <v>5558842</v>
      </c>
      <c r="L58" s="3">
        <v>5558842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3922906</v>
      </c>
      <c r="T58" s="3">
        <v>3922906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554770</v>
      </c>
      <c r="Z58" s="3">
        <v>554770</v>
      </c>
      <c r="AA58" s="4">
        <v>554771</v>
      </c>
      <c r="AB58" s="4">
        <v>554771</v>
      </c>
      <c r="AC58" s="4">
        <v>554771</v>
      </c>
      <c r="AD58" s="4">
        <v>554769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2784990</v>
      </c>
      <c r="AJ58" s="4">
        <v>3339760</v>
      </c>
      <c r="AK58" s="4">
        <v>3894531</v>
      </c>
      <c r="AL58" s="4">
        <v>4449302</v>
      </c>
      <c r="AM58" s="4">
        <v>5004073</v>
      </c>
      <c r="AN58" s="4">
        <v>5558842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30158</v>
      </c>
      <c r="I59" s="1">
        <v>0</v>
      </c>
      <c r="J59" s="3">
        <v>11507667</v>
      </c>
      <c r="K59" s="3">
        <v>11477509</v>
      </c>
      <c r="L59" s="3">
        <v>11477509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9435318</v>
      </c>
      <c r="T59" s="3">
        <v>9435318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1145740</v>
      </c>
      <c r="Z59" s="3">
        <v>1145740</v>
      </c>
      <c r="AA59" s="4">
        <v>1145740</v>
      </c>
      <c r="AB59" s="4">
        <v>1145740</v>
      </c>
      <c r="AC59" s="4">
        <v>1145740</v>
      </c>
      <c r="AD59" s="4">
        <v>1145741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5748808</v>
      </c>
      <c r="AJ59" s="4">
        <v>6894548</v>
      </c>
      <c r="AK59" s="4">
        <v>8040288</v>
      </c>
      <c r="AL59" s="4">
        <v>9186028</v>
      </c>
      <c r="AM59" s="4">
        <v>10331768</v>
      </c>
      <c r="AN59" s="4">
        <v>11477509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32398</v>
      </c>
      <c r="I60" s="1">
        <v>0</v>
      </c>
      <c r="J60" s="3">
        <v>12132826</v>
      </c>
      <c r="K60" s="3">
        <v>12100428</v>
      </c>
      <c r="L60" s="3">
        <v>12100428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9683418</v>
      </c>
      <c r="T60" s="3">
        <v>9683418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1207883</v>
      </c>
      <c r="Z60" s="3">
        <v>1207883</v>
      </c>
      <c r="AA60" s="4">
        <v>1207883</v>
      </c>
      <c r="AB60" s="4">
        <v>1207883</v>
      </c>
      <c r="AC60" s="4">
        <v>1207883</v>
      </c>
      <c r="AD60" s="4">
        <v>1207881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6061015</v>
      </c>
      <c r="AJ60" s="4">
        <v>7268898</v>
      </c>
      <c r="AK60" s="4">
        <v>8476781</v>
      </c>
      <c r="AL60" s="4">
        <v>9684664</v>
      </c>
      <c r="AM60" s="4">
        <v>10892547</v>
      </c>
      <c r="AN60" s="4">
        <v>12100428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6576</v>
      </c>
      <c r="I61" s="1">
        <v>0</v>
      </c>
      <c r="J61" s="3">
        <v>2086923</v>
      </c>
      <c r="K61" s="3">
        <v>2080347</v>
      </c>
      <c r="L61" s="3">
        <v>2080347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1515644</v>
      </c>
      <c r="T61" s="3">
        <v>1515644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207597</v>
      </c>
      <c r="Z61" s="3">
        <v>207597</v>
      </c>
      <c r="AA61" s="4">
        <v>207596</v>
      </c>
      <c r="AB61" s="4">
        <v>207596</v>
      </c>
      <c r="AC61" s="4">
        <v>207596</v>
      </c>
      <c r="AD61" s="4">
        <v>207597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1042365</v>
      </c>
      <c r="AJ61" s="4">
        <v>1249962</v>
      </c>
      <c r="AK61" s="4">
        <v>1457558</v>
      </c>
      <c r="AL61" s="4">
        <v>1665154</v>
      </c>
      <c r="AM61" s="4">
        <v>1872750</v>
      </c>
      <c r="AN61" s="4">
        <v>2080347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22848</v>
      </c>
      <c r="I62" s="1">
        <v>0</v>
      </c>
      <c r="J62" s="3">
        <v>8794091</v>
      </c>
      <c r="K62" s="3">
        <v>8771243</v>
      </c>
      <c r="L62" s="3">
        <v>8771243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7186040</v>
      </c>
      <c r="T62" s="3">
        <v>7186040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875601</v>
      </c>
      <c r="Z62" s="3">
        <v>875601</v>
      </c>
      <c r="AA62" s="4">
        <v>875601</v>
      </c>
      <c r="AB62" s="4">
        <v>875601</v>
      </c>
      <c r="AC62" s="4">
        <v>875601</v>
      </c>
      <c r="AD62" s="4">
        <v>875602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4393237</v>
      </c>
      <c r="AJ62" s="4">
        <v>5268838</v>
      </c>
      <c r="AK62" s="4">
        <v>6144439</v>
      </c>
      <c r="AL62" s="4">
        <v>7020040</v>
      </c>
      <c r="AM62" s="4">
        <v>7895641</v>
      </c>
      <c r="AN62" s="4">
        <v>8771243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22034</v>
      </c>
      <c r="I63" s="1">
        <v>0</v>
      </c>
      <c r="J63" s="3">
        <v>8065062</v>
      </c>
      <c r="K63" s="3">
        <v>8043028</v>
      </c>
      <c r="L63" s="3">
        <v>8043028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6442184</v>
      </c>
      <c r="T63" s="3">
        <v>6442184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802834</v>
      </c>
      <c r="Z63" s="3">
        <v>802834</v>
      </c>
      <c r="AA63" s="4">
        <v>802834</v>
      </c>
      <c r="AB63" s="4">
        <v>802834</v>
      </c>
      <c r="AC63" s="4">
        <v>802834</v>
      </c>
      <c r="AD63" s="4">
        <v>802834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4028858</v>
      </c>
      <c r="AJ63" s="4">
        <v>4831692</v>
      </c>
      <c r="AK63" s="4">
        <v>5634526</v>
      </c>
      <c r="AL63" s="4">
        <v>6437360</v>
      </c>
      <c r="AM63" s="4">
        <v>7240194</v>
      </c>
      <c r="AN63" s="4">
        <v>8043028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22164</v>
      </c>
      <c r="I64" s="1">
        <v>0</v>
      </c>
      <c r="J64" s="3">
        <v>6772543</v>
      </c>
      <c r="K64" s="3">
        <v>6750379</v>
      </c>
      <c r="L64" s="3">
        <v>6750379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5175733</v>
      </c>
      <c r="T64" s="3">
        <v>5175733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673561</v>
      </c>
      <c r="Z64" s="3">
        <v>673561</v>
      </c>
      <c r="AA64" s="4">
        <v>673560</v>
      </c>
      <c r="AB64" s="4">
        <v>673560</v>
      </c>
      <c r="AC64" s="4">
        <v>673560</v>
      </c>
      <c r="AD64" s="4">
        <v>673561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3382577</v>
      </c>
      <c r="AJ64" s="4">
        <v>4056138</v>
      </c>
      <c r="AK64" s="4">
        <v>4729698</v>
      </c>
      <c r="AL64" s="4">
        <v>5403258</v>
      </c>
      <c r="AM64" s="4">
        <v>6076818</v>
      </c>
      <c r="AN64" s="4">
        <v>6750379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33688</v>
      </c>
      <c r="I65" s="1">
        <v>0</v>
      </c>
      <c r="J65" s="3">
        <v>13687568</v>
      </c>
      <c r="K65" s="3">
        <v>13653880</v>
      </c>
      <c r="L65" s="3">
        <v>13653880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11347690</v>
      </c>
      <c r="T65" s="3">
        <v>11347690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1363142</v>
      </c>
      <c r="Z65" s="3">
        <v>1363142</v>
      </c>
      <c r="AA65" s="4">
        <v>1363142</v>
      </c>
      <c r="AB65" s="4">
        <v>1363142</v>
      </c>
      <c r="AC65" s="4">
        <v>1363142</v>
      </c>
      <c r="AD65" s="4">
        <v>1363142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6838170</v>
      </c>
      <c r="AJ65" s="4">
        <v>8201312</v>
      </c>
      <c r="AK65" s="4">
        <v>9564454</v>
      </c>
      <c r="AL65" s="4">
        <v>10927596</v>
      </c>
      <c r="AM65" s="4">
        <v>12290738</v>
      </c>
      <c r="AN65" s="4">
        <v>13653880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6216</v>
      </c>
      <c r="I66" s="1">
        <v>0</v>
      </c>
      <c r="J66" s="3">
        <v>2593241</v>
      </c>
      <c r="K66" s="3">
        <v>2587025</v>
      </c>
      <c r="L66" s="3">
        <v>2587025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1955918</v>
      </c>
      <c r="T66" s="3">
        <v>1955918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258288</v>
      </c>
      <c r="Z66" s="3">
        <v>258288</v>
      </c>
      <c r="AA66" s="4">
        <v>258288</v>
      </c>
      <c r="AB66" s="4">
        <v>258288</v>
      </c>
      <c r="AC66" s="4">
        <v>258288</v>
      </c>
      <c r="AD66" s="4">
        <v>258289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1295584</v>
      </c>
      <c r="AJ66" s="4">
        <v>1553872</v>
      </c>
      <c r="AK66" s="4">
        <v>1812160</v>
      </c>
      <c r="AL66" s="4">
        <v>2070448</v>
      </c>
      <c r="AM66" s="4">
        <v>2328736</v>
      </c>
      <c r="AN66" s="4">
        <v>2587025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6111</v>
      </c>
      <c r="I67" s="1">
        <v>0</v>
      </c>
      <c r="J67" s="3">
        <v>1207196</v>
      </c>
      <c r="K67" s="3">
        <v>1201085</v>
      </c>
      <c r="L67" s="3">
        <v>1201085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643614</v>
      </c>
      <c r="T67" s="3">
        <v>643614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119701</v>
      </c>
      <c r="Z67" s="3">
        <v>119701</v>
      </c>
      <c r="AA67" s="4">
        <v>119701</v>
      </c>
      <c r="AB67" s="4">
        <v>119701</v>
      </c>
      <c r="AC67" s="4">
        <v>119701</v>
      </c>
      <c r="AD67" s="4">
        <v>119700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602581</v>
      </c>
      <c r="AJ67" s="4">
        <v>722282</v>
      </c>
      <c r="AK67" s="4">
        <v>841983</v>
      </c>
      <c r="AL67" s="4">
        <v>961684</v>
      </c>
      <c r="AM67" s="4">
        <v>1081385</v>
      </c>
      <c r="AN67" s="4">
        <v>1201085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71200</v>
      </c>
      <c r="I68" s="1">
        <v>0</v>
      </c>
      <c r="J68" s="3">
        <v>23640194</v>
      </c>
      <c r="K68" s="3">
        <v>23568994</v>
      </c>
      <c r="L68" s="3">
        <v>23568994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18688676</v>
      </c>
      <c r="T68" s="3">
        <v>18688676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2352153</v>
      </c>
      <c r="Z68" s="3">
        <v>2352153</v>
      </c>
      <c r="AA68" s="4">
        <v>2352153</v>
      </c>
      <c r="AB68" s="4">
        <v>2352153</v>
      </c>
      <c r="AC68" s="4">
        <v>2352153</v>
      </c>
      <c r="AD68" s="4">
        <v>2352153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11808229</v>
      </c>
      <c r="AJ68" s="4">
        <v>14160382</v>
      </c>
      <c r="AK68" s="4">
        <v>16512535</v>
      </c>
      <c r="AL68" s="4">
        <v>18864688</v>
      </c>
      <c r="AM68" s="4">
        <v>21216841</v>
      </c>
      <c r="AN68" s="4">
        <v>23568994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26004</v>
      </c>
      <c r="I69" s="1">
        <v>0</v>
      </c>
      <c r="J69" s="3">
        <v>5452558</v>
      </c>
      <c r="K69" s="3">
        <v>5426554</v>
      </c>
      <c r="L69" s="3">
        <v>5426554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3636596</v>
      </c>
      <c r="T69" s="3">
        <v>3636596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540922</v>
      </c>
      <c r="Z69" s="3">
        <v>540922</v>
      </c>
      <c r="AA69" s="4">
        <v>540922</v>
      </c>
      <c r="AB69" s="4">
        <v>540922</v>
      </c>
      <c r="AC69" s="4">
        <v>540922</v>
      </c>
      <c r="AD69" s="4">
        <v>540920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2721946</v>
      </c>
      <c r="AJ69" s="4">
        <v>3262868</v>
      </c>
      <c r="AK69" s="4">
        <v>3803790</v>
      </c>
      <c r="AL69" s="4">
        <v>4344712</v>
      </c>
      <c r="AM69" s="4">
        <v>4885634</v>
      </c>
      <c r="AN69" s="4">
        <v>5426554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81728</v>
      </c>
      <c r="I70" s="1">
        <v>0</v>
      </c>
      <c r="J70" s="3">
        <v>34862932</v>
      </c>
      <c r="K70" s="3">
        <v>34781204</v>
      </c>
      <c r="L70" s="3">
        <v>34781204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29028229</v>
      </c>
      <c r="T70" s="3">
        <v>29028229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3472672</v>
      </c>
      <c r="Z70" s="3">
        <v>3472672</v>
      </c>
      <c r="AA70" s="4">
        <v>3472672</v>
      </c>
      <c r="AB70" s="4">
        <v>3472672</v>
      </c>
      <c r="AC70" s="4">
        <v>3472672</v>
      </c>
      <c r="AD70" s="4">
        <v>3472672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17417844</v>
      </c>
      <c r="AJ70" s="4">
        <v>20890516</v>
      </c>
      <c r="AK70" s="4">
        <v>24363188</v>
      </c>
      <c r="AL70" s="4">
        <v>27835860</v>
      </c>
      <c r="AM70" s="4">
        <v>31308532</v>
      </c>
      <c r="AN70" s="4">
        <v>34781204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15608</v>
      </c>
      <c r="I71" s="1">
        <v>0</v>
      </c>
      <c r="J71" s="3">
        <v>5578088</v>
      </c>
      <c r="K71" s="3">
        <v>5562480</v>
      </c>
      <c r="L71" s="3">
        <v>5562480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4335966</v>
      </c>
      <c r="T71" s="3">
        <v>4335966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555207</v>
      </c>
      <c r="Z71" s="3">
        <v>555207</v>
      </c>
      <c r="AA71" s="4">
        <v>555208</v>
      </c>
      <c r="AB71" s="4">
        <v>555208</v>
      </c>
      <c r="AC71" s="4">
        <v>555208</v>
      </c>
      <c r="AD71" s="4">
        <v>555206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2786443</v>
      </c>
      <c r="AJ71" s="4">
        <v>3341650</v>
      </c>
      <c r="AK71" s="4">
        <v>3896858</v>
      </c>
      <c r="AL71" s="4">
        <v>4452066</v>
      </c>
      <c r="AM71" s="4">
        <v>5007274</v>
      </c>
      <c r="AN71" s="4">
        <v>5562480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116607</v>
      </c>
      <c r="I72" s="1">
        <v>0</v>
      </c>
      <c r="J72" s="3">
        <v>36673531</v>
      </c>
      <c r="K72" s="3">
        <v>36556924</v>
      </c>
      <c r="L72" s="3">
        <v>36556924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28654137</v>
      </c>
      <c r="T72" s="3">
        <v>28654137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3647919</v>
      </c>
      <c r="Z72" s="3">
        <v>3647919</v>
      </c>
      <c r="AA72" s="4">
        <v>3647919</v>
      </c>
      <c r="AB72" s="4">
        <v>3647919</v>
      </c>
      <c r="AC72" s="4">
        <v>3647919</v>
      </c>
      <c r="AD72" s="4">
        <v>3647917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18317331</v>
      </c>
      <c r="AJ72" s="4">
        <v>21965250</v>
      </c>
      <c r="AK72" s="4">
        <v>25613169</v>
      </c>
      <c r="AL72" s="4">
        <v>29261088</v>
      </c>
      <c r="AM72" s="4">
        <v>32909007</v>
      </c>
      <c r="AN72" s="4">
        <v>36556924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9534</v>
      </c>
      <c r="I73" s="1">
        <v>0</v>
      </c>
      <c r="J73" s="3">
        <v>3450658</v>
      </c>
      <c r="K73" s="3">
        <v>3441124</v>
      </c>
      <c r="L73" s="3">
        <v>3441124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2582727</v>
      </c>
      <c r="T73" s="3">
        <v>2582727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343477</v>
      </c>
      <c r="Z73" s="3">
        <v>343477</v>
      </c>
      <c r="AA73" s="4">
        <v>343477</v>
      </c>
      <c r="AB73" s="4">
        <v>343477</v>
      </c>
      <c r="AC73" s="4">
        <v>343477</v>
      </c>
      <c r="AD73" s="4">
        <v>343475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1723741</v>
      </c>
      <c r="AJ73" s="4">
        <v>2067218</v>
      </c>
      <c r="AK73" s="4">
        <v>2410695</v>
      </c>
      <c r="AL73" s="4">
        <v>2754172</v>
      </c>
      <c r="AM73" s="4">
        <v>3097649</v>
      </c>
      <c r="AN73" s="4">
        <v>3441124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10307</v>
      </c>
      <c r="I74" s="1">
        <v>0</v>
      </c>
      <c r="J74" s="3">
        <v>2993511</v>
      </c>
      <c r="K74" s="3">
        <v>2983204</v>
      </c>
      <c r="L74" s="3">
        <v>2983204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2102799</v>
      </c>
      <c r="T74" s="3">
        <v>2102799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297633</v>
      </c>
      <c r="Z74" s="3">
        <v>297633</v>
      </c>
      <c r="AA74" s="4">
        <v>297634</v>
      </c>
      <c r="AB74" s="4">
        <v>297634</v>
      </c>
      <c r="AC74" s="4">
        <v>297634</v>
      </c>
      <c r="AD74" s="4">
        <v>297632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1495037</v>
      </c>
      <c r="AJ74" s="4">
        <v>1792670</v>
      </c>
      <c r="AK74" s="4">
        <v>2090304</v>
      </c>
      <c r="AL74" s="4">
        <v>2387938</v>
      </c>
      <c r="AM74" s="4">
        <v>2685572</v>
      </c>
      <c r="AN74" s="4">
        <v>2983204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17387</v>
      </c>
      <c r="I75" s="1">
        <v>0</v>
      </c>
      <c r="J75" s="3">
        <v>6838603</v>
      </c>
      <c r="K75" s="3">
        <v>6821216</v>
      </c>
      <c r="L75" s="3">
        <v>6821216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5387252</v>
      </c>
      <c r="T75" s="3">
        <v>5387252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680963</v>
      </c>
      <c r="Z75" s="3">
        <v>680963</v>
      </c>
      <c r="AA75" s="4">
        <v>680963</v>
      </c>
      <c r="AB75" s="4">
        <v>680963</v>
      </c>
      <c r="AC75" s="4">
        <v>680963</v>
      </c>
      <c r="AD75" s="4">
        <v>680961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3416403</v>
      </c>
      <c r="AJ75" s="4">
        <v>4097366</v>
      </c>
      <c r="AK75" s="4">
        <v>4778329</v>
      </c>
      <c r="AL75" s="4">
        <v>5459292</v>
      </c>
      <c r="AM75" s="4">
        <v>6140255</v>
      </c>
      <c r="AN75" s="4">
        <v>6821216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10042</v>
      </c>
      <c r="I76" s="3">
        <v>0</v>
      </c>
      <c r="J76" s="3">
        <v>3610599</v>
      </c>
      <c r="K76" s="3">
        <v>3600557</v>
      </c>
      <c r="L76" s="3">
        <v>3600557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2647520</v>
      </c>
      <c r="T76" s="3">
        <v>2647520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359386</v>
      </c>
      <c r="Z76" s="3">
        <v>359386</v>
      </c>
      <c r="AA76" s="4">
        <v>359386</v>
      </c>
      <c r="AB76" s="4">
        <v>359386</v>
      </c>
      <c r="AC76" s="4">
        <v>359386</v>
      </c>
      <c r="AD76" s="4">
        <v>359387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1803626</v>
      </c>
      <c r="AJ76" s="4">
        <v>2163012</v>
      </c>
      <c r="AK76" s="4">
        <v>2522398</v>
      </c>
      <c r="AL76" s="4">
        <v>2881784</v>
      </c>
      <c r="AM76" s="4">
        <v>3241170</v>
      </c>
      <c r="AN76" s="4">
        <v>3600557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9032</v>
      </c>
      <c r="I77" s="1">
        <v>0</v>
      </c>
      <c r="J77" s="3">
        <v>2467765</v>
      </c>
      <c r="K77" s="3">
        <v>2458733</v>
      </c>
      <c r="L77" s="3">
        <v>2458733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1691165</v>
      </c>
      <c r="T77" s="3">
        <v>1691165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245271</v>
      </c>
      <c r="Z77" s="3">
        <v>245271</v>
      </c>
      <c r="AA77" s="4">
        <v>245271</v>
      </c>
      <c r="AB77" s="4">
        <v>245271</v>
      </c>
      <c r="AC77" s="4">
        <v>245271</v>
      </c>
      <c r="AD77" s="4">
        <v>245270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1232379</v>
      </c>
      <c r="AJ77" s="4">
        <v>1477650</v>
      </c>
      <c r="AK77" s="4">
        <v>1722921</v>
      </c>
      <c r="AL77" s="4">
        <v>1968192</v>
      </c>
      <c r="AM77" s="4">
        <v>2213463</v>
      </c>
      <c r="AN77" s="4">
        <v>2458733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192865</v>
      </c>
      <c r="I78" s="1">
        <v>0</v>
      </c>
      <c r="J78" s="3">
        <v>82011135</v>
      </c>
      <c r="K78" s="3">
        <v>81818270</v>
      </c>
      <c r="L78" s="3">
        <v>81818270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68971888</v>
      </c>
      <c r="T78" s="3">
        <v>68971888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8168969</v>
      </c>
      <c r="Z78" s="3">
        <v>8168969</v>
      </c>
      <c r="AA78" s="4">
        <v>8168969</v>
      </c>
      <c r="AB78" s="4">
        <v>8168969</v>
      </c>
      <c r="AC78" s="4">
        <v>8168969</v>
      </c>
      <c r="AD78" s="4">
        <v>8168969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40973425</v>
      </c>
      <c r="AJ78" s="4">
        <v>49142394</v>
      </c>
      <c r="AK78" s="4">
        <v>57311363</v>
      </c>
      <c r="AL78" s="4">
        <v>65480332</v>
      </c>
      <c r="AM78" s="4">
        <v>73649301</v>
      </c>
      <c r="AN78" s="4">
        <v>81818270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30339</v>
      </c>
      <c r="I79" s="1">
        <v>0</v>
      </c>
      <c r="J79" s="3">
        <v>11019743</v>
      </c>
      <c r="K79" s="3">
        <v>10989404</v>
      </c>
      <c r="L79" s="3">
        <v>10989404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8613822</v>
      </c>
      <c r="T79" s="3">
        <v>8613822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1096918</v>
      </c>
      <c r="Z79" s="3">
        <v>1096918</v>
      </c>
      <c r="AA79" s="4">
        <v>1096918</v>
      </c>
      <c r="AB79" s="4">
        <v>1096918</v>
      </c>
      <c r="AC79" s="4">
        <v>1096918</v>
      </c>
      <c r="AD79" s="4">
        <v>1096918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5504814</v>
      </c>
      <c r="AJ79" s="4">
        <v>6601732</v>
      </c>
      <c r="AK79" s="4">
        <v>7698650</v>
      </c>
      <c r="AL79" s="4">
        <v>8795568</v>
      </c>
      <c r="AM79" s="4">
        <v>9892486</v>
      </c>
      <c r="AN79" s="4">
        <v>10989404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78584</v>
      </c>
      <c r="I80" s="1">
        <v>0</v>
      </c>
      <c r="J80" s="3">
        <v>26473979</v>
      </c>
      <c r="K80" s="3">
        <v>26395395</v>
      </c>
      <c r="L80" s="3">
        <v>26395395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21394733</v>
      </c>
      <c r="T80" s="3">
        <v>21394733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2634301</v>
      </c>
      <c r="Z80" s="3">
        <v>2634301</v>
      </c>
      <c r="AA80" s="4">
        <v>2634300</v>
      </c>
      <c r="AB80" s="4">
        <v>2634300</v>
      </c>
      <c r="AC80" s="4">
        <v>2634300</v>
      </c>
      <c r="AD80" s="4">
        <v>2634301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13223893</v>
      </c>
      <c r="AJ80" s="4">
        <v>15858194</v>
      </c>
      <c r="AK80" s="4">
        <v>18492494</v>
      </c>
      <c r="AL80" s="4">
        <v>21126794</v>
      </c>
      <c r="AM80" s="4">
        <v>23761094</v>
      </c>
      <c r="AN80" s="4">
        <v>26395395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9575</v>
      </c>
      <c r="I81" s="1">
        <v>0</v>
      </c>
      <c r="J81" s="3">
        <v>3530056</v>
      </c>
      <c r="K81" s="3">
        <v>3520481</v>
      </c>
      <c r="L81" s="3">
        <v>3520481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2631621</v>
      </c>
      <c r="T81" s="3">
        <v>2631621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351410</v>
      </c>
      <c r="Z81" s="3">
        <v>351410</v>
      </c>
      <c r="AA81" s="4">
        <v>351409</v>
      </c>
      <c r="AB81" s="4">
        <v>351409</v>
      </c>
      <c r="AC81" s="4">
        <v>351409</v>
      </c>
      <c r="AD81" s="4">
        <v>351410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1763434</v>
      </c>
      <c r="AJ81" s="4">
        <v>2114844</v>
      </c>
      <c r="AK81" s="4">
        <v>2466253</v>
      </c>
      <c r="AL81" s="4">
        <v>2817662</v>
      </c>
      <c r="AM81" s="4">
        <v>3169071</v>
      </c>
      <c r="AN81" s="4">
        <v>3520481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309356</v>
      </c>
      <c r="I82" s="1">
        <v>0</v>
      </c>
      <c r="J82" s="3">
        <v>118272660</v>
      </c>
      <c r="K82" s="3">
        <v>117963304</v>
      </c>
      <c r="L82" s="3">
        <v>117963304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95501647</v>
      </c>
      <c r="T82" s="3">
        <v>95501647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11775707</v>
      </c>
      <c r="Z82" s="3">
        <v>11775707</v>
      </c>
      <c r="AA82" s="4">
        <v>11775707</v>
      </c>
      <c r="AB82" s="4">
        <v>11775707</v>
      </c>
      <c r="AC82" s="4">
        <v>11775707</v>
      </c>
      <c r="AD82" s="4">
        <v>11775705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59084771</v>
      </c>
      <c r="AJ82" s="4">
        <v>70860478</v>
      </c>
      <c r="AK82" s="4">
        <v>82636185</v>
      </c>
      <c r="AL82" s="4">
        <v>94411892</v>
      </c>
      <c r="AM82" s="4">
        <v>106187599</v>
      </c>
      <c r="AN82" s="4">
        <v>117963304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24608</v>
      </c>
      <c r="I83" s="1">
        <v>0</v>
      </c>
      <c r="J83" s="3">
        <v>8778555</v>
      </c>
      <c r="K83" s="3">
        <v>8753947</v>
      </c>
      <c r="L83" s="3">
        <v>8753947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7080301</v>
      </c>
      <c r="T83" s="3">
        <v>7080301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873754</v>
      </c>
      <c r="Z83" s="3">
        <v>873754</v>
      </c>
      <c r="AA83" s="4">
        <v>873754</v>
      </c>
      <c r="AB83" s="4">
        <v>873754</v>
      </c>
      <c r="AC83" s="4">
        <v>873754</v>
      </c>
      <c r="AD83" s="4">
        <v>873753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4385178</v>
      </c>
      <c r="AJ83" s="4">
        <v>5258932</v>
      </c>
      <c r="AK83" s="4">
        <v>6132686</v>
      </c>
      <c r="AL83" s="4">
        <v>7006440</v>
      </c>
      <c r="AM83" s="4">
        <v>7880194</v>
      </c>
      <c r="AN83" s="4">
        <v>8753947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33073</v>
      </c>
      <c r="I84" s="1">
        <v>0</v>
      </c>
      <c r="J84" s="3">
        <v>10139784</v>
      </c>
      <c r="K84" s="3">
        <v>10106711</v>
      </c>
      <c r="L84" s="3">
        <v>10106711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7456176</v>
      </c>
      <c r="T84" s="3">
        <v>7456176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1008467</v>
      </c>
      <c r="Z84" s="3">
        <v>1008467</v>
      </c>
      <c r="AA84" s="4">
        <v>1008466</v>
      </c>
      <c r="AB84" s="4">
        <v>1008466</v>
      </c>
      <c r="AC84" s="4">
        <v>1008466</v>
      </c>
      <c r="AD84" s="4">
        <v>1008467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5064379</v>
      </c>
      <c r="AJ84" s="4">
        <v>6072846</v>
      </c>
      <c r="AK84" s="4">
        <v>7081312</v>
      </c>
      <c r="AL84" s="4">
        <v>8089778</v>
      </c>
      <c r="AM84" s="4">
        <v>9098244</v>
      </c>
      <c r="AN84" s="4">
        <v>10106711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3922</v>
      </c>
      <c r="I85" s="3">
        <v>0</v>
      </c>
      <c r="J85" s="3">
        <v>1532720</v>
      </c>
      <c r="K85" s="3">
        <v>1528798</v>
      </c>
      <c r="L85" s="3">
        <v>1528798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1108982</v>
      </c>
      <c r="T85" s="3">
        <v>1108982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152618</v>
      </c>
      <c r="Z85" s="3">
        <v>152618</v>
      </c>
      <c r="AA85" s="4">
        <v>152619</v>
      </c>
      <c r="AB85" s="4">
        <v>152619</v>
      </c>
      <c r="AC85" s="4">
        <v>152619</v>
      </c>
      <c r="AD85" s="4">
        <v>152617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765706</v>
      </c>
      <c r="AJ85" s="4">
        <v>918324</v>
      </c>
      <c r="AK85" s="4">
        <v>1070943</v>
      </c>
      <c r="AL85" s="4">
        <v>1223562</v>
      </c>
      <c r="AM85" s="4">
        <v>1376181</v>
      </c>
      <c r="AN85" s="4">
        <v>1528798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45080</v>
      </c>
      <c r="I86" s="3">
        <v>0</v>
      </c>
      <c r="J86" s="3">
        <v>19066913</v>
      </c>
      <c r="K86" s="3">
        <v>19021833</v>
      </c>
      <c r="L86" s="3">
        <v>19021833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15855837</v>
      </c>
      <c r="T86" s="3">
        <v>15855837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1899178</v>
      </c>
      <c r="Z86" s="3">
        <v>1899178</v>
      </c>
      <c r="AA86" s="4">
        <v>1899178</v>
      </c>
      <c r="AB86" s="4">
        <v>1899178</v>
      </c>
      <c r="AC86" s="4">
        <v>1899178</v>
      </c>
      <c r="AD86" s="4">
        <v>1899179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9525942</v>
      </c>
      <c r="AJ86" s="4">
        <v>11425120</v>
      </c>
      <c r="AK86" s="4">
        <v>13324298</v>
      </c>
      <c r="AL86" s="4">
        <v>15223476</v>
      </c>
      <c r="AM86" s="4">
        <v>17122654</v>
      </c>
      <c r="AN86" s="4">
        <v>19021833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19888</v>
      </c>
      <c r="I87" s="3">
        <v>0</v>
      </c>
      <c r="J87" s="3">
        <v>7409303</v>
      </c>
      <c r="K87" s="3">
        <v>7389415</v>
      </c>
      <c r="L87" s="3">
        <v>7389415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5903205</v>
      </c>
      <c r="T87" s="3">
        <v>5903205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737616</v>
      </c>
      <c r="Z87" s="3">
        <v>737616</v>
      </c>
      <c r="AA87" s="4">
        <v>737616</v>
      </c>
      <c r="AB87" s="4">
        <v>737616</v>
      </c>
      <c r="AC87" s="4">
        <v>737616</v>
      </c>
      <c r="AD87" s="4">
        <v>737615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3701336</v>
      </c>
      <c r="AJ87" s="4">
        <v>4438952</v>
      </c>
      <c r="AK87" s="4">
        <v>5176568</v>
      </c>
      <c r="AL87" s="4">
        <v>5914184</v>
      </c>
      <c r="AM87" s="4">
        <v>6651800</v>
      </c>
      <c r="AN87" s="4">
        <v>7389415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703141</v>
      </c>
      <c r="I88" s="3">
        <v>0</v>
      </c>
      <c r="J88" s="3">
        <v>292902754</v>
      </c>
      <c r="K88" s="3">
        <v>292199613</v>
      </c>
      <c r="L88" s="3">
        <v>292199613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244075271</v>
      </c>
      <c r="T88" s="3">
        <v>244075271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29173086</v>
      </c>
      <c r="Z88" s="3">
        <v>29173086</v>
      </c>
      <c r="AA88" s="4">
        <v>29173085</v>
      </c>
      <c r="AB88" s="4">
        <v>29173085</v>
      </c>
      <c r="AC88" s="4">
        <v>29173085</v>
      </c>
      <c r="AD88" s="4">
        <v>29173086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146334186</v>
      </c>
      <c r="AJ88" s="4">
        <v>175507272</v>
      </c>
      <c r="AK88" s="4">
        <v>204680357</v>
      </c>
      <c r="AL88" s="4">
        <v>233853442</v>
      </c>
      <c r="AM88" s="4">
        <v>263026527</v>
      </c>
      <c r="AN88" s="4">
        <v>292199613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2052</v>
      </c>
      <c r="I89" s="1">
        <v>0</v>
      </c>
      <c r="J89" s="3">
        <v>1028355</v>
      </c>
      <c r="K89" s="3">
        <v>1026303</v>
      </c>
      <c r="L89" s="3">
        <v>1026303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641303</v>
      </c>
      <c r="T89" s="3">
        <v>641303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102493</v>
      </c>
      <c r="Z89" s="3">
        <v>102493</v>
      </c>
      <c r="AA89" s="4">
        <v>102493</v>
      </c>
      <c r="AB89" s="4">
        <v>102493</v>
      </c>
      <c r="AC89" s="4">
        <v>102493</v>
      </c>
      <c r="AD89" s="4">
        <v>102494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513837</v>
      </c>
      <c r="AJ89" s="4">
        <v>616330</v>
      </c>
      <c r="AK89" s="4">
        <v>718823</v>
      </c>
      <c r="AL89" s="4">
        <v>821316</v>
      </c>
      <c r="AM89" s="4">
        <v>923809</v>
      </c>
      <c r="AN89" s="4">
        <v>1026303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19419</v>
      </c>
      <c r="I90" s="3">
        <v>0</v>
      </c>
      <c r="J90" s="3">
        <v>7159303</v>
      </c>
      <c r="K90" s="3">
        <v>7139884</v>
      </c>
      <c r="L90" s="3">
        <v>7139884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5638790</v>
      </c>
      <c r="T90" s="3">
        <v>5638790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712694</v>
      </c>
      <c r="Z90" s="3">
        <v>712694</v>
      </c>
      <c r="AA90" s="4">
        <v>712694</v>
      </c>
      <c r="AB90" s="4">
        <v>712694</v>
      </c>
      <c r="AC90" s="4">
        <v>712694</v>
      </c>
      <c r="AD90" s="4">
        <v>712694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3576414</v>
      </c>
      <c r="AJ90" s="4">
        <v>4289108</v>
      </c>
      <c r="AK90" s="4">
        <v>5001802</v>
      </c>
      <c r="AL90" s="4">
        <v>5714496</v>
      </c>
      <c r="AM90" s="4">
        <v>6427190</v>
      </c>
      <c r="AN90" s="4">
        <v>7139884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224898</v>
      </c>
      <c r="I91" s="1">
        <v>0</v>
      </c>
      <c r="J91" s="3">
        <v>85137185</v>
      </c>
      <c r="K91" s="3">
        <v>84912287</v>
      </c>
      <c r="L91" s="3">
        <v>84912287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66180521</v>
      </c>
      <c r="T91" s="3">
        <v>66180521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8476235</v>
      </c>
      <c r="Z91" s="3">
        <v>8476235</v>
      </c>
      <c r="AA91" s="4">
        <v>8476235</v>
      </c>
      <c r="AB91" s="4">
        <v>8476235</v>
      </c>
      <c r="AC91" s="4">
        <v>8476235</v>
      </c>
      <c r="AD91" s="4">
        <v>8476236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42531111</v>
      </c>
      <c r="AJ91" s="4">
        <v>51007346</v>
      </c>
      <c r="AK91" s="4">
        <v>59483581</v>
      </c>
      <c r="AL91" s="4">
        <v>67959816</v>
      </c>
      <c r="AM91" s="4">
        <v>76436051</v>
      </c>
      <c r="AN91" s="4">
        <v>84912287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7855</v>
      </c>
      <c r="I92" s="1">
        <v>0</v>
      </c>
      <c r="J92" s="3">
        <v>2871199</v>
      </c>
      <c r="K92" s="3">
        <v>2863344</v>
      </c>
      <c r="L92" s="3">
        <v>2863344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2084061</v>
      </c>
      <c r="T92" s="3">
        <v>2084061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285811</v>
      </c>
      <c r="Z92" s="3">
        <v>285811</v>
      </c>
      <c r="AA92" s="4">
        <v>285811</v>
      </c>
      <c r="AB92" s="4">
        <v>285811</v>
      </c>
      <c r="AC92" s="4">
        <v>285811</v>
      </c>
      <c r="AD92" s="4">
        <v>285809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1434291</v>
      </c>
      <c r="AJ92" s="4">
        <v>1720102</v>
      </c>
      <c r="AK92" s="4">
        <v>2005913</v>
      </c>
      <c r="AL92" s="4">
        <v>2291724</v>
      </c>
      <c r="AM92" s="4">
        <v>2577535</v>
      </c>
      <c r="AN92" s="4">
        <v>2863344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8829</v>
      </c>
      <c r="I93" s="3">
        <v>0</v>
      </c>
      <c r="J93" s="3">
        <v>2658128</v>
      </c>
      <c r="K93" s="3">
        <v>2649299</v>
      </c>
      <c r="L93" s="3">
        <v>2649299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1874307</v>
      </c>
      <c r="T93" s="3">
        <v>1874307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264341</v>
      </c>
      <c r="Z93" s="3">
        <v>264341</v>
      </c>
      <c r="AA93" s="4">
        <v>264341</v>
      </c>
      <c r="AB93" s="4">
        <v>264341</v>
      </c>
      <c r="AC93" s="4">
        <v>264341</v>
      </c>
      <c r="AD93" s="4">
        <v>264342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1327593</v>
      </c>
      <c r="AJ93" s="4">
        <v>1591934</v>
      </c>
      <c r="AK93" s="4">
        <v>1856275</v>
      </c>
      <c r="AL93" s="4">
        <v>2120616</v>
      </c>
      <c r="AM93" s="4">
        <v>2384957</v>
      </c>
      <c r="AN93" s="4">
        <v>2649299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10733</v>
      </c>
      <c r="I94" s="1">
        <v>0</v>
      </c>
      <c r="J94" s="3">
        <v>3398387</v>
      </c>
      <c r="K94" s="3">
        <v>3387654</v>
      </c>
      <c r="L94" s="3">
        <v>3387654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2515666</v>
      </c>
      <c r="T94" s="3">
        <v>2515666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338050</v>
      </c>
      <c r="Z94" s="3">
        <v>338050</v>
      </c>
      <c r="AA94" s="4">
        <v>338050</v>
      </c>
      <c r="AB94" s="4">
        <v>338050</v>
      </c>
      <c r="AC94" s="4">
        <v>338050</v>
      </c>
      <c r="AD94" s="4">
        <v>338048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1697406</v>
      </c>
      <c r="AJ94" s="4">
        <v>2035456</v>
      </c>
      <c r="AK94" s="4">
        <v>2373506</v>
      </c>
      <c r="AL94" s="4">
        <v>2711556</v>
      </c>
      <c r="AM94" s="4">
        <v>3049606</v>
      </c>
      <c r="AN94" s="4">
        <v>3387654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20725</v>
      </c>
      <c r="I95" s="1">
        <v>0</v>
      </c>
      <c r="J95" s="3">
        <v>7199457</v>
      </c>
      <c r="K95" s="3">
        <v>7178732</v>
      </c>
      <c r="L95" s="3">
        <v>7178732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5530706</v>
      </c>
      <c r="T95" s="3">
        <v>5530706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716491</v>
      </c>
      <c r="Z95" s="3">
        <v>716491</v>
      </c>
      <c r="AA95" s="4">
        <v>716492</v>
      </c>
      <c r="AB95" s="4">
        <v>716492</v>
      </c>
      <c r="AC95" s="4">
        <v>716492</v>
      </c>
      <c r="AD95" s="4">
        <v>716490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3596275</v>
      </c>
      <c r="AJ95" s="4">
        <v>4312766</v>
      </c>
      <c r="AK95" s="4">
        <v>5029258</v>
      </c>
      <c r="AL95" s="4">
        <v>5745750</v>
      </c>
      <c r="AM95" s="4">
        <v>6462242</v>
      </c>
      <c r="AN95" s="4">
        <v>7178732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22235</v>
      </c>
      <c r="I96" s="1">
        <v>0</v>
      </c>
      <c r="J96" s="3">
        <v>8510254</v>
      </c>
      <c r="K96" s="3">
        <v>8488019</v>
      </c>
      <c r="L96" s="3">
        <v>8488019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6641496</v>
      </c>
      <c r="T96" s="3">
        <v>6641496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847320</v>
      </c>
      <c r="Z96" s="3">
        <v>847320</v>
      </c>
      <c r="AA96" s="4">
        <v>847320</v>
      </c>
      <c r="AB96" s="4">
        <v>847320</v>
      </c>
      <c r="AC96" s="4">
        <v>847320</v>
      </c>
      <c r="AD96" s="4">
        <v>847319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4251420</v>
      </c>
      <c r="AJ96" s="4">
        <v>5098740</v>
      </c>
      <c r="AK96" s="4">
        <v>5946060</v>
      </c>
      <c r="AL96" s="4">
        <v>6793380</v>
      </c>
      <c r="AM96" s="4">
        <v>7640700</v>
      </c>
      <c r="AN96" s="4">
        <v>8488019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13084</v>
      </c>
      <c r="I97" s="1">
        <v>0</v>
      </c>
      <c r="J97" s="3">
        <v>4754235</v>
      </c>
      <c r="K97" s="3">
        <v>4741151</v>
      </c>
      <c r="L97" s="3">
        <v>4741151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3430227</v>
      </c>
      <c r="T97" s="3">
        <v>3430227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473243</v>
      </c>
      <c r="Z97" s="3">
        <v>473243</v>
      </c>
      <c r="AA97" s="4">
        <v>473242</v>
      </c>
      <c r="AB97" s="4">
        <v>473242</v>
      </c>
      <c r="AC97" s="4">
        <v>473242</v>
      </c>
      <c r="AD97" s="4">
        <v>473243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2374939</v>
      </c>
      <c r="AJ97" s="4">
        <v>2848182</v>
      </c>
      <c r="AK97" s="4">
        <v>3321424</v>
      </c>
      <c r="AL97" s="4">
        <v>3794666</v>
      </c>
      <c r="AM97" s="4">
        <v>4267908</v>
      </c>
      <c r="AN97" s="4">
        <v>4741151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11611</v>
      </c>
      <c r="I98" s="1">
        <v>0</v>
      </c>
      <c r="J98" s="3">
        <v>4038619</v>
      </c>
      <c r="K98" s="3">
        <v>4027008</v>
      </c>
      <c r="L98" s="3">
        <v>4027008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3082840</v>
      </c>
      <c r="T98" s="3">
        <v>3082840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401927</v>
      </c>
      <c r="Z98" s="3">
        <v>401927</v>
      </c>
      <c r="AA98" s="4">
        <v>401927</v>
      </c>
      <c r="AB98" s="4">
        <v>401927</v>
      </c>
      <c r="AC98" s="4">
        <v>401927</v>
      </c>
      <c r="AD98" s="4">
        <v>401925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2017375</v>
      </c>
      <c r="AJ98" s="4">
        <v>2419302</v>
      </c>
      <c r="AK98" s="4">
        <v>2821229</v>
      </c>
      <c r="AL98" s="4">
        <v>3223156</v>
      </c>
      <c r="AM98" s="4">
        <v>3625083</v>
      </c>
      <c r="AN98" s="4">
        <v>4027008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12122</v>
      </c>
      <c r="I99" s="3">
        <v>0</v>
      </c>
      <c r="J99" s="3">
        <v>4447874</v>
      </c>
      <c r="K99" s="3">
        <v>4435752</v>
      </c>
      <c r="L99" s="3">
        <v>4435752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3166487</v>
      </c>
      <c r="T99" s="3">
        <v>3166487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442767</v>
      </c>
      <c r="Z99" s="3">
        <v>442767</v>
      </c>
      <c r="AA99" s="4">
        <v>442768</v>
      </c>
      <c r="AB99" s="4">
        <v>442768</v>
      </c>
      <c r="AC99" s="4">
        <v>442768</v>
      </c>
      <c r="AD99" s="4">
        <v>442766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2221915</v>
      </c>
      <c r="AJ99" s="4">
        <v>2664682</v>
      </c>
      <c r="AK99" s="4">
        <v>3107450</v>
      </c>
      <c r="AL99" s="4">
        <v>3550218</v>
      </c>
      <c r="AM99" s="4">
        <v>3992986</v>
      </c>
      <c r="AN99" s="4">
        <v>4435752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10238</v>
      </c>
      <c r="I100" s="1">
        <v>0</v>
      </c>
      <c r="J100" s="3">
        <v>3976395</v>
      </c>
      <c r="K100" s="3">
        <v>3966157</v>
      </c>
      <c r="L100" s="3">
        <v>3966157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2950429</v>
      </c>
      <c r="T100" s="3">
        <v>2950429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395933</v>
      </c>
      <c r="Z100" s="3">
        <v>395933</v>
      </c>
      <c r="AA100" s="4">
        <v>395933</v>
      </c>
      <c r="AB100" s="4">
        <v>395933</v>
      </c>
      <c r="AC100" s="4">
        <v>395933</v>
      </c>
      <c r="AD100" s="4">
        <v>395932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1986493</v>
      </c>
      <c r="AJ100" s="4">
        <v>2382426</v>
      </c>
      <c r="AK100" s="4">
        <v>2778359</v>
      </c>
      <c r="AL100" s="4">
        <v>3174292</v>
      </c>
      <c r="AM100" s="4">
        <v>3570225</v>
      </c>
      <c r="AN100" s="4">
        <v>3966157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7000</v>
      </c>
      <c r="I101" s="1">
        <v>0</v>
      </c>
      <c r="J101" s="3">
        <v>2488492</v>
      </c>
      <c r="K101" s="3">
        <v>2481492</v>
      </c>
      <c r="L101" s="3">
        <v>2481492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1626247</v>
      </c>
      <c r="T101" s="3">
        <v>1626247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247683</v>
      </c>
      <c r="Z101" s="3">
        <v>247683</v>
      </c>
      <c r="AA101" s="4">
        <v>247683</v>
      </c>
      <c r="AB101" s="4">
        <v>247683</v>
      </c>
      <c r="AC101" s="4">
        <v>247683</v>
      </c>
      <c r="AD101" s="4">
        <v>247681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1243079</v>
      </c>
      <c r="AJ101" s="4">
        <v>1490762</v>
      </c>
      <c r="AK101" s="4">
        <v>1738445</v>
      </c>
      <c r="AL101" s="4">
        <v>1986128</v>
      </c>
      <c r="AM101" s="4">
        <v>2233811</v>
      </c>
      <c r="AN101" s="4">
        <v>2481492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8257</v>
      </c>
      <c r="I102" s="3">
        <v>0</v>
      </c>
      <c r="J102" s="3">
        <v>2697332</v>
      </c>
      <c r="K102" s="3">
        <v>2689075</v>
      </c>
      <c r="L102" s="3">
        <v>2689075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1950162</v>
      </c>
      <c r="T102" s="3">
        <v>1950162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268357</v>
      </c>
      <c r="Z102" s="3">
        <v>268357</v>
      </c>
      <c r="AA102" s="4">
        <v>268357</v>
      </c>
      <c r="AB102" s="4">
        <v>268357</v>
      </c>
      <c r="AC102" s="4">
        <v>268357</v>
      </c>
      <c r="AD102" s="4">
        <v>268358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1347289</v>
      </c>
      <c r="AJ102" s="4">
        <v>1615646</v>
      </c>
      <c r="AK102" s="4">
        <v>1884003</v>
      </c>
      <c r="AL102" s="4">
        <v>2152360</v>
      </c>
      <c r="AM102" s="4">
        <v>2420717</v>
      </c>
      <c r="AN102" s="4">
        <v>2689075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8619</v>
      </c>
      <c r="I103" s="3">
        <v>0</v>
      </c>
      <c r="J103" s="3">
        <v>3269016</v>
      </c>
      <c r="K103" s="3">
        <v>3260397</v>
      </c>
      <c r="L103" s="3">
        <v>3260397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2226664</v>
      </c>
      <c r="T103" s="3">
        <v>2226664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325465</v>
      </c>
      <c r="Z103" s="3">
        <v>325465</v>
      </c>
      <c r="AA103" s="4">
        <v>325465</v>
      </c>
      <c r="AB103" s="4">
        <v>325465</v>
      </c>
      <c r="AC103" s="4">
        <v>325465</v>
      </c>
      <c r="AD103" s="4">
        <v>325464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1633073</v>
      </c>
      <c r="AJ103" s="4">
        <v>1958538</v>
      </c>
      <c r="AK103" s="4">
        <v>2284003</v>
      </c>
      <c r="AL103" s="4">
        <v>2609468</v>
      </c>
      <c r="AM103" s="4">
        <v>2934933</v>
      </c>
      <c r="AN103" s="4">
        <v>3260397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12058</v>
      </c>
      <c r="I104" s="1">
        <v>0</v>
      </c>
      <c r="J104" s="3">
        <v>4324760</v>
      </c>
      <c r="K104" s="3">
        <v>4312702</v>
      </c>
      <c r="L104" s="3">
        <v>4312702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3393330</v>
      </c>
      <c r="T104" s="3">
        <v>3393330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430466</v>
      </c>
      <c r="Z104" s="3">
        <v>430466</v>
      </c>
      <c r="AA104" s="4">
        <v>430467</v>
      </c>
      <c r="AB104" s="4">
        <v>430467</v>
      </c>
      <c r="AC104" s="4">
        <v>430467</v>
      </c>
      <c r="AD104" s="4">
        <v>430465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2160370</v>
      </c>
      <c r="AJ104" s="4">
        <v>2590836</v>
      </c>
      <c r="AK104" s="4">
        <v>3021303</v>
      </c>
      <c r="AL104" s="4">
        <v>3451770</v>
      </c>
      <c r="AM104" s="4">
        <v>3882237</v>
      </c>
      <c r="AN104" s="4">
        <v>4312702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13764</v>
      </c>
      <c r="I105" s="1">
        <v>0</v>
      </c>
      <c r="J105" s="3">
        <v>4221737</v>
      </c>
      <c r="K105" s="3">
        <v>4207973</v>
      </c>
      <c r="L105" s="3">
        <v>4207973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2937986</v>
      </c>
      <c r="T105" s="3">
        <v>2937986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419880</v>
      </c>
      <c r="Z105" s="3">
        <v>419880</v>
      </c>
      <c r="AA105" s="4">
        <v>419879</v>
      </c>
      <c r="AB105" s="4">
        <v>419879</v>
      </c>
      <c r="AC105" s="4">
        <v>419879</v>
      </c>
      <c r="AD105" s="4">
        <v>419880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2108576</v>
      </c>
      <c r="AJ105" s="4">
        <v>2528456</v>
      </c>
      <c r="AK105" s="4">
        <v>2948335</v>
      </c>
      <c r="AL105" s="4">
        <v>3368214</v>
      </c>
      <c r="AM105" s="4">
        <v>3788093</v>
      </c>
      <c r="AN105" s="4">
        <v>4207973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10111</v>
      </c>
      <c r="I106" s="1">
        <v>0</v>
      </c>
      <c r="J106" s="3">
        <v>3424183</v>
      </c>
      <c r="K106" s="3">
        <v>3414072</v>
      </c>
      <c r="L106" s="3">
        <v>3414072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2536259</v>
      </c>
      <c r="T106" s="3">
        <v>2536259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340733</v>
      </c>
      <c r="Z106" s="3">
        <v>340733</v>
      </c>
      <c r="AA106" s="4">
        <v>340734</v>
      </c>
      <c r="AB106" s="4">
        <v>340734</v>
      </c>
      <c r="AC106" s="4">
        <v>340734</v>
      </c>
      <c r="AD106" s="4">
        <v>340732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1710405</v>
      </c>
      <c r="AJ106" s="4">
        <v>2051138</v>
      </c>
      <c r="AK106" s="4">
        <v>2391872</v>
      </c>
      <c r="AL106" s="4">
        <v>2732606</v>
      </c>
      <c r="AM106" s="4">
        <v>3073340</v>
      </c>
      <c r="AN106" s="4">
        <v>3414072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3717</v>
      </c>
      <c r="I107" s="1">
        <v>0</v>
      </c>
      <c r="J107" s="3">
        <v>1414082</v>
      </c>
      <c r="K107" s="3">
        <v>1410365</v>
      </c>
      <c r="L107" s="3">
        <v>1410365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948937</v>
      </c>
      <c r="T107" s="3">
        <v>948937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140789</v>
      </c>
      <c r="Z107" s="3">
        <v>140789</v>
      </c>
      <c r="AA107" s="4">
        <v>140789</v>
      </c>
      <c r="AB107" s="4">
        <v>140789</v>
      </c>
      <c r="AC107" s="4">
        <v>140789</v>
      </c>
      <c r="AD107" s="4">
        <v>140788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706421</v>
      </c>
      <c r="AJ107" s="4">
        <v>847210</v>
      </c>
      <c r="AK107" s="4">
        <v>987999</v>
      </c>
      <c r="AL107" s="4">
        <v>1128788</v>
      </c>
      <c r="AM107" s="4">
        <v>1269577</v>
      </c>
      <c r="AN107" s="4">
        <v>1410365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26170</v>
      </c>
      <c r="I108" s="1">
        <v>0</v>
      </c>
      <c r="J108" s="3">
        <v>9817164</v>
      </c>
      <c r="K108" s="3">
        <v>9790994</v>
      </c>
      <c r="L108" s="3">
        <v>9790994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7731547</v>
      </c>
      <c r="T108" s="3">
        <v>7731547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977355</v>
      </c>
      <c r="Z108" s="3">
        <v>977355</v>
      </c>
      <c r="AA108" s="4">
        <v>977355</v>
      </c>
      <c r="AB108" s="4">
        <v>977355</v>
      </c>
      <c r="AC108" s="4">
        <v>977355</v>
      </c>
      <c r="AD108" s="4">
        <v>977355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4904219</v>
      </c>
      <c r="AJ108" s="4">
        <v>5881574</v>
      </c>
      <c r="AK108" s="4">
        <v>6858929</v>
      </c>
      <c r="AL108" s="4">
        <v>7836284</v>
      </c>
      <c r="AM108" s="4">
        <v>8813639</v>
      </c>
      <c r="AN108" s="4">
        <v>9790994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9657</v>
      </c>
      <c r="I109" s="1">
        <v>0</v>
      </c>
      <c r="J109" s="3">
        <v>3156425</v>
      </c>
      <c r="K109" s="3">
        <v>3146768</v>
      </c>
      <c r="L109" s="3">
        <v>3146768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2190826</v>
      </c>
      <c r="T109" s="3">
        <v>2190826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314033</v>
      </c>
      <c r="Z109" s="3">
        <v>314033</v>
      </c>
      <c r="AA109" s="4">
        <v>314033</v>
      </c>
      <c r="AB109" s="4">
        <v>314033</v>
      </c>
      <c r="AC109" s="4">
        <v>314033</v>
      </c>
      <c r="AD109" s="4">
        <v>314031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1576605</v>
      </c>
      <c r="AJ109" s="4">
        <v>1890638</v>
      </c>
      <c r="AK109" s="4">
        <v>2204671</v>
      </c>
      <c r="AL109" s="4">
        <v>2518704</v>
      </c>
      <c r="AM109" s="4">
        <v>2832737</v>
      </c>
      <c r="AN109" s="4">
        <v>3146768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33741</v>
      </c>
      <c r="I110" s="1">
        <v>0</v>
      </c>
      <c r="J110" s="3">
        <v>10725823</v>
      </c>
      <c r="K110" s="3">
        <v>10692082</v>
      </c>
      <c r="L110" s="3">
        <v>10692082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7790151</v>
      </c>
      <c r="T110" s="3">
        <v>7790151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1066959</v>
      </c>
      <c r="Z110" s="3">
        <v>1066959</v>
      </c>
      <c r="AA110" s="4">
        <v>1066959</v>
      </c>
      <c r="AB110" s="4">
        <v>1066959</v>
      </c>
      <c r="AC110" s="4">
        <v>1066959</v>
      </c>
      <c r="AD110" s="4">
        <v>1066959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5357287</v>
      </c>
      <c r="AJ110" s="4">
        <v>6424246</v>
      </c>
      <c r="AK110" s="4">
        <v>7491205</v>
      </c>
      <c r="AL110" s="4">
        <v>8558164</v>
      </c>
      <c r="AM110" s="4">
        <v>9625123</v>
      </c>
      <c r="AN110" s="4">
        <v>10692082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23231</v>
      </c>
      <c r="I111" s="1">
        <v>0</v>
      </c>
      <c r="J111" s="3">
        <v>8277135</v>
      </c>
      <c r="K111" s="3">
        <v>8253904</v>
      </c>
      <c r="L111" s="3">
        <v>8253904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6340402</v>
      </c>
      <c r="T111" s="3">
        <v>6340402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823841</v>
      </c>
      <c r="Z111" s="3">
        <v>823841</v>
      </c>
      <c r="AA111" s="4">
        <v>823842</v>
      </c>
      <c r="AB111" s="4">
        <v>823842</v>
      </c>
      <c r="AC111" s="4">
        <v>823842</v>
      </c>
      <c r="AD111" s="4">
        <v>823840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4134697</v>
      </c>
      <c r="AJ111" s="4">
        <v>4958538</v>
      </c>
      <c r="AK111" s="4">
        <v>5782380</v>
      </c>
      <c r="AL111" s="4">
        <v>6606222</v>
      </c>
      <c r="AM111" s="4">
        <v>7430064</v>
      </c>
      <c r="AN111" s="4">
        <v>8253904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78050</v>
      </c>
      <c r="I112" s="3">
        <v>0</v>
      </c>
      <c r="J112" s="3">
        <v>30386166</v>
      </c>
      <c r="K112" s="3">
        <v>30308116</v>
      </c>
      <c r="L112" s="3">
        <v>30308116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23830876</v>
      </c>
      <c r="T112" s="3">
        <v>23830876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3025608</v>
      </c>
      <c r="Z112" s="3">
        <v>3025608</v>
      </c>
      <c r="AA112" s="4">
        <v>3025608</v>
      </c>
      <c r="AB112" s="4">
        <v>3025608</v>
      </c>
      <c r="AC112" s="4">
        <v>3025608</v>
      </c>
      <c r="AD112" s="4">
        <v>3025608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15180076</v>
      </c>
      <c r="AJ112" s="4">
        <v>18205684</v>
      </c>
      <c r="AK112" s="4">
        <v>21231292</v>
      </c>
      <c r="AL112" s="4">
        <v>24256900</v>
      </c>
      <c r="AM112" s="4">
        <v>27282508</v>
      </c>
      <c r="AN112" s="4">
        <v>30308116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47440</v>
      </c>
      <c r="I113" s="3">
        <v>0</v>
      </c>
      <c r="J113" s="3">
        <v>17054171</v>
      </c>
      <c r="K113" s="3">
        <v>17006731</v>
      </c>
      <c r="L113" s="3">
        <v>17006731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13792251</v>
      </c>
      <c r="T113" s="3">
        <v>13792251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1697511</v>
      </c>
      <c r="Z113" s="3">
        <v>1697511</v>
      </c>
      <c r="AA113" s="4">
        <v>1697510</v>
      </c>
      <c r="AB113" s="4">
        <v>1697510</v>
      </c>
      <c r="AC113" s="4">
        <v>1697510</v>
      </c>
      <c r="AD113" s="4">
        <v>1697511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8519179</v>
      </c>
      <c r="AJ113" s="4">
        <v>10216690</v>
      </c>
      <c r="AK113" s="4">
        <v>11914200</v>
      </c>
      <c r="AL113" s="4">
        <v>13611710</v>
      </c>
      <c r="AM113" s="4">
        <v>15309220</v>
      </c>
      <c r="AN113" s="4">
        <v>17006731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10033</v>
      </c>
      <c r="I114" s="3">
        <v>0</v>
      </c>
      <c r="J114" s="3">
        <v>3549763</v>
      </c>
      <c r="K114" s="3">
        <v>3539730</v>
      </c>
      <c r="L114" s="3">
        <v>3539730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2669236</v>
      </c>
      <c r="T114" s="3">
        <v>2669236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353304</v>
      </c>
      <c r="Z114" s="3">
        <v>353304</v>
      </c>
      <c r="AA114" s="4">
        <v>353305</v>
      </c>
      <c r="AB114" s="4">
        <v>353305</v>
      </c>
      <c r="AC114" s="4">
        <v>353305</v>
      </c>
      <c r="AD114" s="4">
        <v>353303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1773208</v>
      </c>
      <c r="AJ114" s="4">
        <v>2126512</v>
      </c>
      <c r="AK114" s="4">
        <v>2479817</v>
      </c>
      <c r="AL114" s="4">
        <v>2833122</v>
      </c>
      <c r="AM114" s="4">
        <v>3186427</v>
      </c>
      <c r="AN114" s="4">
        <v>3539730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10726</v>
      </c>
      <c r="I115" s="1">
        <v>0</v>
      </c>
      <c r="J115" s="3">
        <v>3209059</v>
      </c>
      <c r="K115" s="3">
        <v>3198333</v>
      </c>
      <c r="L115" s="3">
        <v>3198333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2308531</v>
      </c>
      <c r="T115" s="3">
        <v>2308531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319118</v>
      </c>
      <c r="Z115" s="3">
        <v>319118</v>
      </c>
      <c r="AA115" s="4">
        <v>319118</v>
      </c>
      <c r="AB115" s="4">
        <v>319118</v>
      </c>
      <c r="AC115" s="4">
        <v>319118</v>
      </c>
      <c r="AD115" s="4">
        <v>319119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1602742</v>
      </c>
      <c r="AJ115" s="4">
        <v>1921860</v>
      </c>
      <c r="AK115" s="4">
        <v>2240978</v>
      </c>
      <c r="AL115" s="4">
        <v>2560096</v>
      </c>
      <c r="AM115" s="4">
        <v>2879214</v>
      </c>
      <c r="AN115" s="4">
        <v>3198333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18796</v>
      </c>
      <c r="I116" s="1">
        <v>0</v>
      </c>
      <c r="J116" s="3">
        <v>5114587</v>
      </c>
      <c r="K116" s="3">
        <v>5095791</v>
      </c>
      <c r="L116" s="3">
        <v>5095791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3340084</v>
      </c>
      <c r="T116" s="3">
        <v>3340084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508326</v>
      </c>
      <c r="Z116" s="3">
        <v>508326</v>
      </c>
      <c r="AA116" s="4">
        <v>508326</v>
      </c>
      <c r="AB116" s="4">
        <v>508326</v>
      </c>
      <c r="AC116" s="4">
        <v>508326</v>
      </c>
      <c r="AD116" s="4">
        <v>508325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2554162</v>
      </c>
      <c r="AJ116" s="4">
        <v>3062488</v>
      </c>
      <c r="AK116" s="4">
        <v>3570814</v>
      </c>
      <c r="AL116" s="4">
        <v>4079140</v>
      </c>
      <c r="AM116" s="4">
        <v>4587466</v>
      </c>
      <c r="AN116" s="4">
        <v>5095791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9422</v>
      </c>
      <c r="I117" s="1">
        <v>0</v>
      </c>
      <c r="J117" s="3">
        <v>2942836</v>
      </c>
      <c r="K117" s="3">
        <v>2933414</v>
      </c>
      <c r="L117" s="3">
        <v>2933414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1996372</v>
      </c>
      <c r="T117" s="3">
        <v>1996372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292713</v>
      </c>
      <c r="Z117" s="3">
        <v>292713</v>
      </c>
      <c r="AA117" s="4">
        <v>292713</v>
      </c>
      <c r="AB117" s="4">
        <v>292713</v>
      </c>
      <c r="AC117" s="4">
        <v>292713</v>
      </c>
      <c r="AD117" s="4">
        <v>292713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1469849</v>
      </c>
      <c r="AJ117" s="4">
        <v>1762562</v>
      </c>
      <c r="AK117" s="4">
        <v>2055275</v>
      </c>
      <c r="AL117" s="4">
        <v>2347988</v>
      </c>
      <c r="AM117" s="4">
        <v>2640701</v>
      </c>
      <c r="AN117" s="4">
        <v>2933414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36267</v>
      </c>
      <c r="I118" s="1">
        <v>0</v>
      </c>
      <c r="J118" s="3">
        <v>11264616</v>
      </c>
      <c r="K118" s="3">
        <v>11228349</v>
      </c>
      <c r="L118" s="3">
        <v>11228349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8890740</v>
      </c>
      <c r="T118" s="3">
        <v>8890740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1120417</v>
      </c>
      <c r="Z118" s="3">
        <v>1120417</v>
      </c>
      <c r="AA118" s="4">
        <v>1120417</v>
      </c>
      <c r="AB118" s="4">
        <v>1120417</v>
      </c>
      <c r="AC118" s="4">
        <v>1120417</v>
      </c>
      <c r="AD118" s="4">
        <v>1120416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5626265</v>
      </c>
      <c r="AJ118" s="4">
        <v>6746682</v>
      </c>
      <c r="AK118" s="4">
        <v>7867099</v>
      </c>
      <c r="AL118" s="4">
        <v>8987516</v>
      </c>
      <c r="AM118" s="4">
        <v>10107933</v>
      </c>
      <c r="AN118" s="4">
        <v>11228349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3605</v>
      </c>
      <c r="I119" s="3">
        <v>0</v>
      </c>
      <c r="J119" s="3">
        <v>1159820</v>
      </c>
      <c r="K119" s="3">
        <v>1156215</v>
      </c>
      <c r="L119" s="3">
        <v>1156215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804562</v>
      </c>
      <c r="T119" s="3">
        <v>804562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115381</v>
      </c>
      <c r="Z119" s="3">
        <v>115381</v>
      </c>
      <c r="AA119" s="4">
        <v>115381</v>
      </c>
      <c r="AB119" s="4">
        <v>115381</v>
      </c>
      <c r="AC119" s="4">
        <v>115381</v>
      </c>
      <c r="AD119" s="4">
        <v>115382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579309</v>
      </c>
      <c r="AJ119" s="4">
        <v>694690</v>
      </c>
      <c r="AK119" s="4">
        <v>810071</v>
      </c>
      <c r="AL119" s="4">
        <v>925452</v>
      </c>
      <c r="AM119" s="4">
        <v>1040833</v>
      </c>
      <c r="AN119" s="4">
        <v>1156215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14035</v>
      </c>
      <c r="I120" s="1">
        <v>0</v>
      </c>
      <c r="J120" s="3">
        <v>4632019</v>
      </c>
      <c r="K120" s="3">
        <v>4617984</v>
      </c>
      <c r="L120" s="3">
        <v>4617984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3403732</v>
      </c>
      <c r="T120" s="3">
        <v>3403732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460863</v>
      </c>
      <c r="Z120" s="3">
        <v>460863</v>
      </c>
      <c r="AA120" s="4">
        <v>460863</v>
      </c>
      <c r="AB120" s="4">
        <v>460863</v>
      </c>
      <c r="AC120" s="4">
        <v>460863</v>
      </c>
      <c r="AD120" s="4">
        <v>460861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2313671</v>
      </c>
      <c r="AJ120" s="4">
        <v>2774534</v>
      </c>
      <c r="AK120" s="4">
        <v>3235397</v>
      </c>
      <c r="AL120" s="4">
        <v>3696260</v>
      </c>
      <c r="AM120" s="4">
        <v>4157123</v>
      </c>
      <c r="AN120" s="4">
        <v>4617984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42506</v>
      </c>
      <c r="I121" s="1">
        <v>0</v>
      </c>
      <c r="J121" s="3">
        <v>14327640</v>
      </c>
      <c r="K121" s="3">
        <v>14285134</v>
      </c>
      <c r="L121" s="3">
        <v>14285134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11414676</v>
      </c>
      <c r="T121" s="3">
        <v>11414676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1425680</v>
      </c>
      <c r="Z121" s="3">
        <v>1425680</v>
      </c>
      <c r="AA121" s="4">
        <v>1425680</v>
      </c>
      <c r="AB121" s="4">
        <v>1425680</v>
      </c>
      <c r="AC121" s="4">
        <v>1425680</v>
      </c>
      <c r="AD121" s="4">
        <v>1425678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7156736</v>
      </c>
      <c r="AJ121" s="4">
        <v>8582416</v>
      </c>
      <c r="AK121" s="4">
        <v>10008096</v>
      </c>
      <c r="AL121" s="4">
        <v>11433776</v>
      </c>
      <c r="AM121" s="4">
        <v>12859456</v>
      </c>
      <c r="AN121" s="4">
        <v>14285134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7144</v>
      </c>
      <c r="I122" s="1">
        <v>0</v>
      </c>
      <c r="J122" s="3">
        <v>2393151</v>
      </c>
      <c r="K122" s="3">
        <v>2386007</v>
      </c>
      <c r="L122" s="3">
        <v>2386007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1657721</v>
      </c>
      <c r="T122" s="3">
        <v>1657721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238125</v>
      </c>
      <c r="Z122" s="3">
        <v>238125</v>
      </c>
      <c r="AA122" s="4">
        <v>238124</v>
      </c>
      <c r="AB122" s="4">
        <v>238124</v>
      </c>
      <c r="AC122" s="4">
        <v>238124</v>
      </c>
      <c r="AD122" s="4">
        <v>238125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1195385</v>
      </c>
      <c r="AJ122" s="4">
        <v>1433510</v>
      </c>
      <c r="AK122" s="4">
        <v>1671634</v>
      </c>
      <c r="AL122" s="4">
        <v>1909758</v>
      </c>
      <c r="AM122" s="4">
        <v>2147882</v>
      </c>
      <c r="AN122" s="4">
        <v>2386007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8581</v>
      </c>
      <c r="I123" s="1">
        <v>0</v>
      </c>
      <c r="J123" s="3">
        <v>2425722</v>
      </c>
      <c r="K123" s="3">
        <v>2417141</v>
      </c>
      <c r="L123" s="3">
        <v>2417141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1676654</v>
      </c>
      <c r="T123" s="3">
        <v>1676654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241142</v>
      </c>
      <c r="Z123" s="3">
        <v>241142</v>
      </c>
      <c r="AA123" s="4">
        <v>241142</v>
      </c>
      <c r="AB123" s="4">
        <v>241142</v>
      </c>
      <c r="AC123" s="4">
        <v>241142</v>
      </c>
      <c r="AD123" s="4">
        <v>241143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1211430</v>
      </c>
      <c r="AJ123" s="4">
        <v>1452572</v>
      </c>
      <c r="AK123" s="4">
        <v>1693714</v>
      </c>
      <c r="AL123" s="4">
        <v>1934856</v>
      </c>
      <c r="AM123" s="4">
        <v>2175998</v>
      </c>
      <c r="AN123" s="4">
        <v>2417141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14482</v>
      </c>
      <c r="I124" s="1">
        <v>0</v>
      </c>
      <c r="J124" s="3">
        <v>5335018</v>
      </c>
      <c r="K124" s="3">
        <v>5320536</v>
      </c>
      <c r="L124" s="3">
        <v>5320536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3934899</v>
      </c>
      <c r="T124" s="3">
        <v>3934899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531088</v>
      </c>
      <c r="Z124" s="3">
        <v>531088</v>
      </c>
      <c r="AA124" s="4">
        <v>531088</v>
      </c>
      <c r="AB124" s="4">
        <v>531088</v>
      </c>
      <c r="AC124" s="4">
        <v>531088</v>
      </c>
      <c r="AD124" s="4">
        <v>531088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2665096</v>
      </c>
      <c r="AJ124" s="4">
        <v>3196184</v>
      </c>
      <c r="AK124" s="4">
        <v>3727272</v>
      </c>
      <c r="AL124" s="4">
        <v>4258360</v>
      </c>
      <c r="AM124" s="4">
        <v>4789448</v>
      </c>
      <c r="AN124" s="4">
        <v>5320536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5685</v>
      </c>
      <c r="I125" s="3">
        <v>0</v>
      </c>
      <c r="J125" s="3">
        <v>2108159</v>
      </c>
      <c r="K125" s="3">
        <v>2102474</v>
      </c>
      <c r="L125" s="3">
        <v>2102474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1195451</v>
      </c>
      <c r="T125" s="3">
        <v>1195451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209868</v>
      </c>
      <c r="Z125" s="3">
        <v>209868</v>
      </c>
      <c r="AA125" s="4">
        <v>209869</v>
      </c>
      <c r="AB125" s="4">
        <v>209869</v>
      </c>
      <c r="AC125" s="4">
        <v>209869</v>
      </c>
      <c r="AD125" s="4">
        <v>209867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1053132</v>
      </c>
      <c r="AJ125" s="4">
        <v>1263000</v>
      </c>
      <c r="AK125" s="4">
        <v>1472869</v>
      </c>
      <c r="AL125" s="4">
        <v>1682738</v>
      </c>
      <c r="AM125" s="4">
        <v>1892607</v>
      </c>
      <c r="AN125" s="4">
        <v>2102474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34254</v>
      </c>
      <c r="I126" s="1">
        <v>0</v>
      </c>
      <c r="J126" s="3">
        <v>12082944</v>
      </c>
      <c r="K126" s="3">
        <v>12048690</v>
      </c>
      <c r="L126" s="3">
        <v>12048690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9535435</v>
      </c>
      <c r="T126" s="3">
        <v>9535435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1202586</v>
      </c>
      <c r="Z126" s="3">
        <v>1202586</v>
      </c>
      <c r="AA126" s="4">
        <v>1202586</v>
      </c>
      <c r="AB126" s="4">
        <v>1202586</v>
      </c>
      <c r="AC126" s="4">
        <v>1202586</v>
      </c>
      <c r="AD126" s="4">
        <v>1202584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6035762</v>
      </c>
      <c r="AJ126" s="4">
        <v>7238348</v>
      </c>
      <c r="AK126" s="4">
        <v>8440934</v>
      </c>
      <c r="AL126" s="4">
        <v>9643520</v>
      </c>
      <c r="AM126" s="4">
        <v>10846106</v>
      </c>
      <c r="AN126" s="4">
        <v>12048690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10104</v>
      </c>
      <c r="I127" s="1">
        <v>0</v>
      </c>
      <c r="J127" s="3">
        <v>3227666</v>
      </c>
      <c r="K127" s="3">
        <v>3217562</v>
      </c>
      <c r="L127" s="3">
        <v>3217562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2305662</v>
      </c>
      <c r="T127" s="3">
        <v>2305662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321082</v>
      </c>
      <c r="Z127" s="3">
        <v>321082</v>
      </c>
      <c r="AA127" s="4">
        <v>321083</v>
      </c>
      <c r="AB127" s="4">
        <v>321083</v>
      </c>
      <c r="AC127" s="4">
        <v>321083</v>
      </c>
      <c r="AD127" s="4">
        <v>321081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1612150</v>
      </c>
      <c r="AJ127" s="4">
        <v>1933232</v>
      </c>
      <c r="AK127" s="4">
        <v>2254315</v>
      </c>
      <c r="AL127" s="4">
        <v>2575398</v>
      </c>
      <c r="AM127" s="4">
        <v>2896481</v>
      </c>
      <c r="AN127" s="4">
        <v>3217562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15528</v>
      </c>
      <c r="I128" s="1">
        <v>0</v>
      </c>
      <c r="J128" s="3">
        <v>5609917</v>
      </c>
      <c r="K128" s="3">
        <v>5594389</v>
      </c>
      <c r="L128" s="3">
        <v>5594389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4276839</v>
      </c>
      <c r="T128" s="3">
        <v>4276839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558404</v>
      </c>
      <c r="Z128" s="3">
        <v>558404</v>
      </c>
      <c r="AA128" s="4">
        <v>558403</v>
      </c>
      <c r="AB128" s="4">
        <v>558403</v>
      </c>
      <c r="AC128" s="4">
        <v>558403</v>
      </c>
      <c r="AD128" s="4">
        <v>558404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2802372</v>
      </c>
      <c r="AJ128" s="4">
        <v>3360776</v>
      </c>
      <c r="AK128" s="4">
        <v>3919179</v>
      </c>
      <c r="AL128" s="4">
        <v>4477582</v>
      </c>
      <c r="AM128" s="4">
        <v>5035985</v>
      </c>
      <c r="AN128" s="4">
        <v>5594389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8852</v>
      </c>
      <c r="I129" s="1">
        <v>0</v>
      </c>
      <c r="J129" s="3">
        <v>3273818</v>
      </c>
      <c r="K129" s="3">
        <v>3264966</v>
      </c>
      <c r="L129" s="3">
        <v>3264966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2346166</v>
      </c>
      <c r="T129" s="3">
        <v>2346166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325906</v>
      </c>
      <c r="Z129" s="3">
        <v>325906</v>
      </c>
      <c r="AA129" s="4">
        <v>325907</v>
      </c>
      <c r="AB129" s="4">
        <v>325907</v>
      </c>
      <c r="AC129" s="4">
        <v>325907</v>
      </c>
      <c r="AD129" s="4">
        <v>325905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1635434</v>
      </c>
      <c r="AJ129" s="4">
        <v>1961340</v>
      </c>
      <c r="AK129" s="4">
        <v>2287247</v>
      </c>
      <c r="AL129" s="4">
        <v>2613154</v>
      </c>
      <c r="AM129" s="4">
        <v>2939061</v>
      </c>
      <c r="AN129" s="4">
        <v>3264966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14548</v>
      </c>
      <c r="I130" s="1">
        <v>0</v>
      </c>
      <c r="J130" s="3">
        <v>4414753</v>
      </c>
      <c r="K130" s="3">
        <v>4400205</v>
      </c>
      <c r="L130" s="3">
        <v>4400205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3271322</v>
      </c>
      <c r="T130" s="3">
        <v>3271322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439051</v>
      </c>
      <c r="Z130" s="3">
        <v>439051</v>
      </c>
      <c r="AA130" s="4">
        <v>439051</v>
      </c>
      <c r="AB130" s="4">
        <v>439051</v>
      </c>
      <c r="AC130" s="4">
        <v>439051</v>
      </c>
      <c r="AD130" s="4">
        <v>439050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2204951</v>
      </c>
      <c r="AJ130" s="4">
        <v>2644002</v>
      </c>
      <c r="AK130" s="4">
        <v>3083053</v>
      </c>
      <c r="AL130" s="4">
        <v>3522104</v>
      </c>
      <c r="AM130" s="4">
        <v>3961155</v>
      </c>
      <c r="AN130" s="4">
        <v>4400205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7023</v>
      </c>
      <c r="I131" s="1">
        <v>0</v>
      </c>
      <c r="J131" s="3">
        <v>2375695</v>
      </c>
      <c r="K131" s="3">
        <v>2368672</v>
      </c>
      <c r="L131" s="3">
        <v>2368672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1700037</v>
      </c>
      <c r="T131" s="3">
        <v>1700037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236399</v>
      </c>
      <c r="Z131" s="3">
        <v>236399</v>
      </c>
      <c r="AA131" s="4">
        <v>236399</v>
      </c>
      <c r="AB131" s="4">
        <v>236399</v>
      </c>
      <c r="AC131" s="4">
        <v>236399</v>
      </c>
      <c r="AD131" s="4">
        <v>236397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1186679</v>
      </c>
      <c r="AJ131" s="4">
        <v>1423078</v>
      </c>
      <c r="AK131" s="4">
        <v>1659477</v>
      </c>
      <c r="AL131" s="4">
        <v>1895876</v>
      </c>
      <c r="AM131" s="4">
        <v>2132275</v>
      </c>
      <c r="AN131" s="4">
        <v>2368672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4629</v>
      </c>
      <c r="I132" s="1">
        <v>0</v>
      </c>
      <c r="J132" s="3">
        <v>1125283</v>
      </c>
      <c r="K132" s="3">
        <v>1120654</v>
      </c>
      <c r="L132" s="3">
        <v>1120654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660680</v>
      </c>
      <c r="T132" s="3">
        <v>660680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111757</v>
      </c>
      <c r="Z132" s="3">
        <v>111757</v>
      </c>
      <c r="AA132" s="4">
        <v>111757</v>
      </c>
      <c r="AB132" s="4">
        <v>111757</v>
      </c>
      <c r="AC132" s="4">
        <v>111757</v>
      </c>
      <c r="AD132" s="4">
        <v>111757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561869</v>
      </c>
      <c r="AJ132" s="4">
        <v>673626</v>
      </c>
      <c r="AK132" s="4">
        <v>785383</v>
      </c>
      <c r="AL132" s="4">
        <v>897140</v>
      </c>
      <c r="AM132" s="4">
        <v>1008897</v>
      </c>
      <c r="AN132" s="4">
        <v>1120654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24804</v>
      </c>
      <c r="I133" s="1">
        <v>0</v>
      </c>
      <c r="J133" s="3">
        <v>9220727</v>
      </c>
      <c r="K133" s="3">
        <v>9195923</v>
      </c>
      <c r="L133" s="3">
        <v>9195923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7393767</v>
      </c>
      <c r="T133" s="3">
        <v>7393767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917939</v>
      </c>
      <c r="Z133" s="3">
        <v>917939</v>
      </c>
      <c r="AA133" s="4">
        <v>917938</v>
      </c>
      <c r="AB133" s="4">
        <v>917938</v>
      </c>
      <c r="AC133" s="4">
        <v>917938</v>
      </c>
      <c r="AD133" s="4">
        <v>917939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4606231</v>
      </c>
      <c r="AJ133" s="4">
        <v>5524170</v>
      </c>
      <c r="AK133" s="4">
        <v>6442108</v>
      </c>
      <c r="AL133" s="4">
        <v>7360046</v>
      </c>
      <c r="AM133" s="4">
        <v>8277984</v>
      </c>
      <c r="AN133" s="4">
        <v>9195923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30708</v>
      </c>
      <c r="I134" s="1">
        <v>0</v>
      </c>
      <c r="J134" s="3">
        <v>10403180</v>
      </c>
      <c r="K134" s="3">
        <v>10372472</v>
      </c>
      <c r="L134" s="3">
        <v>10372472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8082881</v>
      </c>
      <c r="T134" s="3">
        <v>8082881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1035200</v>
      </c>
      <c r="Z134" s="3">
        <v>1035200</v>
      </c>
      <c r="AA134" s="4">
        <v>1035200</v>
      </c>
      <c r="AB134" s="4">
        <v>1035200</v>
      </c>
      <c r="AC134" s="4">
        <v>1035200</v>
      </c>
      <c r="AD134" s="4">
        <v>1035200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5196472</v>
      </c>
      <c r="AJ134" s="4">
        <v>6231672</v>
      </c>
      <c r="AK134" s="4">
        <v>7266872</v>
      </c>
      <c r="AL134" s="4">
        <v>8302072</v>
      </c>
      <c r="AM134" s="4">
        <v>9337272</v>
      </c>
      <c r="AN134" s="4">
        <v>10372472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6818</v>
      </c>
      <c r="I135" s="1">
        <v>0</v>
      </c>
      <c r="J135" s="3">
        <v>1609059</v>
      </c>
      <c r="K135" s="3">
        <v>1602241</v>
      </c>
      <c r="L135" s="3">
        <v>1602241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886002</v>
      </c>
      <c r="T135" s="3">
        <v>886002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159770</v>
      </c>
      <c r="Z135" s="3">
        <v>159770</v>
      </c>
      <c r="AA135" s="4">
        <v>159769</v>
      </c>
      <c r="AB135" s="4">
        <v>159769</v>
      </c>
      <c r="AC135" s="4">
        <v>159769</v>
      </c>
      <c r="AD135" s="4">
        <v>159770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803394</v>
      </c>
      <c r="AJ135" s="4">
        <v>963164</v>
      </c>
      <c r="AK135" s="4">
        <v>1122933</v>
      </c>
      <c r="AL135" s="4">
        <v>1282702</v>
      </c>
      <c r="AM135" s="4">
        <v>1442471</v>
      </c>
      <c r="AN135" s="4">
        <v>1602241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14436</v>
      </c>
      <c r="I136" s="1">
        <v>0</v>
      </c>
      <c r="J136" s="3">
        <v>3915168</v>
      </c>
      <c r="K136" s="3">
        <v>3900732</v>
      </c>
      <c r="L136" s="3">
        <v>3900732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2574350</v>
      </c>
      <c r="T136" s="3">
        <v>2574350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389111</v>
      </c>
      <c r="Z136" s="3">
        <v>389111</v>
      </c>
      <c r="AA136" s="4">
        <v>389111</v>
      </c>
      <c r="AB136" s="4">
        <v>389111</v>
      </c>
      <c r="AC136" s="4">
        <v>389111</v>
      </c>
      <c r="AD136" s="4">
        <v>389109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1955179</v>
      </c>
      <c r="AJ136" s="4">
        <v>2344290</v>
      </c>
      <c r="AK136" s="4">
        <v>2733401</v>
      </c>
      <c r="AL136" s="4">
        <v>3122512</v>
      </c>
      <c r="AM136" s="4">
        <v>3511623</v>
      </c>
      <c r="AN136" s="4">
        <v>3900732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12628</v>
      </c>
      <c r="I137" s="1">
        <v>0</v>
      </c>
      <c r="J137" s="3">
        <v>3971294</v>
      </c>
      <c r="K137" s="3">
        <v>3958666</v>
      </c>
      <c r="L137" s="3">
        <v>3958666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2796034</v>
      </c>
      <c r="T137" s="3">
        <v>2796034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395025</v>
      </c>
      <c r="Z137" s="3">
        <v>395025</v>
      </c>
      <c r="AA137" s="4">
        <v>395025</v>
      </c>
      <c r="AB137" s="4">
        <v>395025</v>
      </c>
      <c r="AC137" s="4">
        <v>395025</v>
      </c>
      <c r="AD137" s="4">
        <v>395025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1983541</v>
      </c>
      <c r="AJ137" s="4">
        <v>2378566</v>
      </c>
      <c r="AK137" s="4">
        <v>2773591</v>
      </c>
      <c r="AL137" s="4">
        <v>3168616</v>
      </c>
      <c r="AM137" s="4">
        <v>3563641</v>
      </c>
      <c r="AN137" s="4">
        <v>3958666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13050</v>
      </c>
      <c r="I138" s="3">
        <v>0</v>
      </c>
      <c r="J138" s="3">
        <v>4344199</v>
      </c>
      <c r="K138" s="3">
        <v>4331149</v>
      </c>
      <c r="L138" s="3">
        <v>4331149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3301161</v>
      </c>
      <c r="T138" s="3">
        <v>3301161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432245</v>
      </c>
      <c r="Z138" s="3">
        <v>432245</v>
      </c>
      <c r="AA138" s="4">
        <v>432245</v>
      </c>
      <c r="AB138" s="4">
        <v>432245</v>
      </c>
      <c r="AC138" s="4">
        <v>432245</v>
      </c>
      <c r="AD138" s="4">
        <v>432244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2169925</v>
      </c>
      <c r="AJ138" s="4">
        <v>2602170</v>
      </c>
      <c r="AK138" s="4">
        <v>3034415</v>
      </c>
      <c r="AL138" s="4">
        <v>3466660</v>
      </c>
      <c r="AM138" s="4">
        <v>3898905</v>
      </c>
      <c r="AN138" s="4">
        <v>4331149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26154</v>
      </c>
      <c r="I139" s="1">
        <v>0</v>
      </c>
      <c r="J139" s="3">
        <v>8630984</v>
      </c>
      <c r="K139" s="3">
        <v>8604830</v>
      </c>
      <c r="L139" s="3">
        <v>8604830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6561554</v>
      </c>
      <c r="T139" s="3">
        <v>6561554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858740</v>
      </c>
      <c r="Z139" s="3">
        <v>858740</v>
      </c>
      <c r="AA139" s="4">
        <v>858740</v>
      </c>
      <c r="AB139" s="4">
        <v>858740</v>
      </c>
      <c r="AC139" s="4">
        <v>858740</v>
      </c>
      <c r="AD139" s="4">
        <v>858738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4311132</v>
      </c>
      <c r="AJ139" s="4">
        <v>5169872</v>
      </c>
      <c r="AK139" s="4">
        <v>6028612</v>
      </c>
      <c r="AL139" s="4">
        <v>6887352</v>
      </c>
      <c r="AM139" s="4">
        <v>7746092</v>
      </c>
      <c r="AN139" s="4">
        <v>8604830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9310</v>
      </c>
      <c r="I140" s="1">
        <v>0</v>
      </c>
      <c r="J140" s="3">
        <v>2470922</v>
      </c>
      <c r="K140" s="3">
        <v>2461612</v>
      </c>
      <c r="L140" s="3">
        <v>2461612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1728399</v>
      </c>
      <c r="T140" s="3">
        <v>1728399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245541</v>
      </c>
      <c r="Z140" s="3">
        <v>245541</v>
      </c>
      <c r="AA140" s="4">
        <v>245541</v>
      </c>
      <c r="AB140" s="4">
        <v>245541</v>
      </c>
      <c r="AC140" s="4">
        <v>245541</v>
      </c>
      <c r="AD140" s="4">
        <v>245539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1233909</v>
      </c>
      <c r="AJ140" s="4">
        <v>1479450</v>
      </c>
      <c r="AK140" s="4">
        <v>1724991</v>
      </c>
      <c r="AL140" s="4">
        <v>1970532</v>
      </c>
      <c r="AM140" s="4">
        <v>2216073</v>
      </c>
      <c r="AN140" s="4">
        <v>2461612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17706</v>
      </c>
      <c r="I141" s="1">
        <v>0</v>
      </c>
      <c r="J141" s="3">
        <v>7025673</v>
      </c>
      <c r="K141" s="3">
        <v>7007967</v>
      </c>
      <c r="L141" s="3">
        <v>7007967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5629409</v>
      </c>
      <c r="T141" s="3">
        <v>5629409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699617</v>
      </c>
      <c r="Z141" s="3">
        <v>699617</v>
      </c>
      <c r="AA141" s="4">
        <v>699616</v>
      </c>
      <c r="AB141" s="4">
        <v>699616</v>
      </c>
      <c r="AC141" s="4">
        <v>699616</v>
      </c>
      <c r="AD141" s="4">
        <v>699617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3509885</v>
      </c>
      <c r="AJ141" s="4">
        <v>4209502</v>
      </c>
      <c r="AK141" s="4">
        <v>4909118</v>
      </c>
      <c r="AL141" s="4">
        <v>5608734</v>
      </c>
      <c r="AM141" s="4">
        <v>6308350</v>
      </c>
      <c r="AN141" s="4">
        <v>7007967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27345</v>
      </c>
      <c r="I142" s="1">
        <v>0</v>
      </c>
      <c r="J142" s="3">
        <v>9511056</v>
      </c>
      <c r="K142" s="3">
        <v>9483711</v>
      </c>
      <c r="L142" s="3">
        <v>9483711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7184551</v>
      </c>
      <c r="T142" s="3">
        <v>7184551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946548</v>
      </c>
      <c r="Z142" s="3">
        <v>946548</v>
      </c>
      <c r="AA142" s="4">
        <v>946548</v>
      </c>
      <c r="AB142" s="4">
        <v>946548</v>
      </c>
      <c r="AC142" s="4">
        <v>946548</v>
      </c>
      <c r="AD142" s="4">
        <v>946547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4750972</v>
      </c>
      <c r="AJ142" s="4">
        <v>5697520</v>
      </c>
      <c r="AK142" s="4">
        <v>6644068</v>
      </c>
      <c r="AL142" s="4">
        <v>7590616</v>
      </c>
      <c r="AM142" s="4">
        <v>8537164</v>
      </c>
      <c r="AN142" s="4">
        <v>9483711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30893</v>
      </c>
      <c r="I143" s="1">
        <v>0</v>
      </c>
      <c r="J143" s="3">
        <v>11351756</v>
      </c>
      <c r="K143" s="3">
        <v>11320863</v>
      </c>
      <c r="L143" s="3">
        <v>11320863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8889335</v>
      </c>
      <c r="T143" s="3">
        <v>8889335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1130027</v>
      </c>
      <c r="Z143" s="3">
        <v>1130027</v>
      </c>
      <c r="AA143" s="4">
        <v>1130026</v>
      </c>
      <c r="AB143" s="4">
        <v>1130026</v>
      </c>
      <c r="AC143" s="4">
        <v>1130026</v>
      </c>
      <c r="AD143" s="4">
        <v>1130027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5670731</v>
      </c>
      <c r="AJ143" s="4">
        <v>6800758</v>
      </c>
      <c r="AK143" s="4">
        <v>7930784</v>
      </c>
      <c r="AL143" s="4">
        <v>9060810</v>
      </c>
      <c r="AM143" s="4">
        <v>10190836</v>
      </c>
      <c r="AN143" s="4">
        <v>11320863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78217</v>
      </c>
      <c r="I144" s="1">
        <v>0</v>
      </c>
      <c r="J144" s="3">
        <v>29218351</v>
      </c>
      <c r="K144" s="3">
        <v>29140134</v>
      </c>
      <c r="L144" s="3">
        <v>29140134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24212237</v>
      </c>
      <c r="T144" s="3">
        <v>24212237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2908799</v>
      </c>
      <c r="Z144" s="3">
        <v>2908799</v>
      </c>
      <c r="AA144" s="4">
        <v>2908799</v>
      </c>
      <c r="AB144" s="4">
        <v>2908799</v>
      </c>
      <c r="AC144" s="4">
        <v>2908799</v>
      </c>
      <c r="AD144" s="4">
        <v>2908799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14596139</v>
      </c>
      <c r="AJ144" s="4">
        <v>17504938</v>
      </c>
      <c r="AK144" s="4">
        <v>20413737</v>
      </c>
      <c r="AL144" s="4">
        <v>23322536</v>
      </c>
      <c r="AM144" s="4">
        <v>26231335</v>
      </c>
      <c r="AN144" s="4">
        <v>29140134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18705</v>
      </c>
      <c r="I145" s="1">
        <v>0</v>
      </c>
      <c r="J145" s="3">
        <v>6830525</v>
      </c>
      <c r="K145" s="3">
        <v>6811820</v>
      </c>
      <c r="L145" s="3">
        <v>6811820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5225753</v>
      </c>
      <c r="T145" s="3">
        <v>5225753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679935</v>
      </c>
      <c r="Z145" s="3">
        <v>679935</v>
      </c>
      <c r="AA145" s="4">
        <v>679935</v>
      </c>
      <c r="AB145" s="4">
        <v>679935</v>
      </c>
      <c r="AC145" s="4">
        <v>679935</v>
      </c>
      <c r="AD145" s="4">
        <v>679933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3412147</v>
      </c>
      <c r="AJ145" s="4">
        <v>4092082</v>
      </c>
      <c r="AK145" s="4">
        <v>4772017</v>
      </c>
      <c r="AL145" s="4">
        <v>5451952</v>
      </c>
      <c r="AM145" s="4">
        <v>6131887</v>
      </c>
      <c r="AN145" s="4">
        <v>6811820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331789</v>
      </c>
      <c r="I146" s="1">
        <v>0</v>
      </c>
      <c r="J146" s="3">
        <v>106490705</v>
      </c>
      <c r="K146" s="3">
        <v>106158916</v>
      </c>
      <c r="L146" s="3">
        <v>106158916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84592962</v>
      </c>
      <c r="T146" s="3">
        <v>84592962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10593772</v>
      </c>
      <c r="Z146" s="3">
        <v>10593772</v>
      </c>
      <c r="AA146" s="4">
        <v>10593772</v>
      </c>
      <c r="AB146" s="4">
        <v>10593772</v>
      </c>
      <c r="AC146" s="4">
        <v>10593772</v>
      </c>
      <c r="AD146" s="4">
        <v>10593772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53190056</v>
      </c>
      <c r="AJ146" s="4">
        <v>63783828</v>
      </c>
      <c r="AK146" s="4">
        <v>74377600</v>
      </c>
      <c r="AL146" s="4">
        <v>84971372</v>
      </c>
      <c r="AM146" s="4">
        <v>95565144</v>
      </c>
      <c r="AN146" s="4">
        <v>106158916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22023</v>
      </c>
      <c r="I147" s="1">
        <v>0</v>
      </c>
      <c r="J147" s="3">
        <v>7751887</v>
      </c>
      <c r="K147" s="3">
        <v>7729864</v>
      </c>
      <c r="L147" s="3">
        <v>7729864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5937156</v>
      </c>
      <c r="T147" s="3">
        <v>5937156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771518</v>
      </c>
      <c r="Z147" s="3">
        <v>771518</v>
      </c>
      <c r="AA147" s="4">
        <v>771518</v>
      </c>
      <c r="AB147" s="4">
        <v>771518</v>
      </c>
      <c r="AC147" s="4">
        <v>771518</v>
      </c>
      <c r="AD147" s="4">
        <v>771518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3872274</v>
      </c>
      <c r="AJ147" s="4">
        <v>4643792</v>
      </c>
      <c r="AK147" s="4">
        <v>5415310</v>
      </c>
      <c r="AL147" s="4">
        <v>6186828</v>
      </c>
      <c r="AM147" s="4">
        <v>6958346</v>
      </c>
      <c r="AN147" s="4">
        <v>7729864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11055</v>
      </c>
      <c r="I148" s="1">
        <v>0</v>
      </c>
      <c r="J148" s="3">
        <v>4187823</v>
      </c>
      <c r="K148" s="3">
        <v>4176768</v>
      </c>
      <c r="L148" s="3">
        <v>4176768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3299258</v>
      </c>
      <c r="T148" s="3">
        <v>3299258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416940</v>
      </c>
      <c r="Z148" s="3">
        <v>416940</v>
      </c>
      <c r="AA148" s="4">
        <v>416940</v>
      </c>
      <c r="AB148" s="4">
        <v>416940</v>
      </c>
      <c r="AC148" s="4">
        <v>416940</v>
      </c>
      <c r="AD148" s="4">
        <v>416940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2092068</v>
      </c>
      <c r="AJ148" s="4">
        <v>2509008</v>
      </c>
      <c r="AK148" s="4">
        <v>2925948</v>
      </c>
      <c r="AL148" s="4">
        <v>3342888</v>
      </c>
      <c r="AM148" s="4">
        <v>3759828</v>
      </c>
      <c r="AN148" s="4">
        <v>4176768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15385</v>
      </c>
      <c r="I149" s="1">
        <v>0</v>
      </c>
      <c r="J149" s="3">
        <v>4558701</v>
      </c>
      <c r="K149" s="3">
        <v>4543316</v>
      </c>
      <c r="L149" s="3">
        <v>4543316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3278871</v>
      </c>
      <c r="T149" s="3">
        <v>3278871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453306</v>
      </c>
      <c r="Z149" s="3">
        <v>453306</v>
      </c>
      <c r="AA149" s="4">
        <v>453306</v>
      </c>
      <c r="AB149" s="4">
        <v>453306</v>
      </c>
      <c r="AC149" s="4">
        <v>453306</v>
      </c>
      <c r="AD149" s="4">
        <v>453306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2276786</v>
      </c>
      <c r="AJ149" s="4">
        <v>2730092</v>
      </c>
      <c r="AK149" s="4">
        <v>3183398</v>
      </c>
      <c r="AL149" s="4">
        <v>3636704</v>
      </c>
      <c r="AM149" s="4">
        <v>4090010</v>
      </c>
      <c r="AN149" s="4">
        <v>4543316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10104</v>
      </c>
      <c r="I150" s="1">
        <v>0</v>
      </c>
      <c r="J150" s="3">
        <v>3765756</v>
      </c>
      <c r="K150" s="3">
        <v>3755652</v>
      </c>
      <c r="L150" s="3">
        <v>3755652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2784207</v>
      </c>
      <c r="T150" s="3">
        <v>2784207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374891</v>
      </c>
      <c r="Z150" s="3">
        <v>374891</v>
      </c>
      <c r="AA150" s="4">
        <v>374892</v>
      </c>
      <c r="AB150" s="4">
        <v>374892</v>
      </c>
      <c r="AC150" s="4">
        <v>374892</v>
      </c>
      <c r="AD150" s="4">
        <v>374890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1881195</v>
      </c>
      <c r="AJ150" s="4">
        <v>2256086</v>
      </c>
      <c r="AK150" s="4">
        <v>2630978</v>
      </c>
      <c r="AL150" s="4">
        <v>3005870</v>
      </c>
      <c r="AM150" s="4">
        <v>3380762</v>
      </c>
      <c r="AN150" s="4">
        <v>3755652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27345</v>
      </c>
      <c r="I151" s="1">
        <v>0</v>
      </c>
      <c r="J151" s="3">
        <v>8714935</v>
      </c>
      <c r="K151" s="3">
        <v>8687590</v>
      </c>
      <c r="L151" s="3">
        <v>8687590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6682159</v>
      </c>
      <c r="T151" s="3">
        <v>6682159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866936</v>
      </c>
      <c r="Z151" s="3">
        <v>866936</v>
      </c>
      <c r="AA151" s="4">
        <v>866936</v>
      </c>
      <c r="AB151" s="4">
        <v>866936</v>
      </c>
      <c r="AC151" s="4">
        <v>866936</v>
      </c>
      <c r="AD151" s="4">
        <v>866934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4352912</v>
      </c>
      <c r="AJ151" s="4">
        <v>5219848</v>
      </c>
      <c r="AK151" s="4">
        <v>6086784</v>
      </c>
      <c r="AL151" s="4">
        <v>6953720</v>
      </c>
      <c r="AM151" s="4">
        <v>7820656</v>
      </c>
      <c r="AN151" s="4">
        <v>8687590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19831</v>
      </c>
      <c r="I152" s="1">
        <v>0</v>
      </c>
      <c r="J152" s="3">
        <v>7273537</v>
      </c>
      <c r="K152" s="3">
        <v>7253706</v>
      </c>
      <c r="L152" s="3">
        <v>7253706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5629062</v>
      </c>
      <c r="T152" s="3">
        <v>5629062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724048</v>
      </c>
      <c r="Z152" s="3">
        <v>724048</v>
      </c>
      <c r="AA152" s="4">
        <v>724049</v>
      </c>
      <c r="AB152" s="4">
        <v>724049</v>
      </c>
      <c r="AC152" s="4">
        <v>724049</v>
      </c>
      <c r="AD152" s="4">
        <v>724047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3633464</v>
      </c>
      <c r="AJ152" s="4">
        <v>4357512</v>
      </c>
      <c r="AK152" s="4">
        <v>5081561</v>
      </c>
      <c r="AL152" s="4">
        <v>5805610</v>
      </c>
      <c r="AM152" s="4">
        <v>6529659</v>
      </c>
      <c r="AN152" s="4">
        <v>7253706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153631</v>
      </c>
      <c r="I153" s="1">
        <v>0</v>
      </c>
      <c r="J153" s="3">
        <v>51808497</v>
      </c>
      <c r="K153" s="3">
        <v>51654866</v>
      </c>
      <c r="L153" s="3">
        <v>51654866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42143050</v>
      </c>
      <c r="T153" s="3">
        <v>42143050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5155244</v>
      </c>
      <c r="Z153" s="3">
        <v>5155244</v>
      </c>
      <c r="AA153" s="4">
        <v>5155245</v>
      </c>
      <c r="AB153" s="4">
        <v>5155245</v>
      </c>
      <c r="AC153" s="4">
        <v>5155245</v>
      </c>
      <c r="AD153" s="4">
        <v>5155243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25878644</v>
      </c>
      <c r="AJ153" s="4">
        <v>31033888</v>
      </c>
      <c r="AK153" s="4">
        <v>36189133</v>
      </c>
      <c r="AL153" s="4">
        <v>41344378</v>
      </c>
      <c r="AM153" s="4">
        <v>46499623</v>
      </c>
      <c r="AN153" s="4">
        <v>51654866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40778</v>
      </c>
      <c r="I154" s="3">
        <v>0</v>
      </c>
      <c r="J154" s="3">
        <v>17841004</v>
      </c>
      <c r="K154" s="3">
        <v>17800226</v>
      </c>
      <c r="L154" s="3">
        <v>17800226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14941574</v>
      </c>
      <c r="T154" s="3">
        <v>14941574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1777304</v>
      </c>
      <c r="Z154" s="3">
        <v>1777304</v>
      </c>
      <c r="AA154" s="4">
        <v>1777305</v>
      </c>
      <c r="AB154" s="4">
        <v>1777305</v>
      </c>
      <c r="AC154" s="4">
        <v>1777305</v>
      </c>
      <c r="AD154" s="4">
        <v>1777303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8913704</v>
      </c>
      <c r="AJ154" s="4">
        <v>10691008</v>
      </c>
      <c r="AK154" s="4">
        <v>12468313</v>
      </c>
      <c r="AL154" s="4">
        <v>14245618</v>
      </c>
      <c r="AM154" s="4">
        <v>16022923</v>
      </c>
      <c r="AN154" s="4">
        <v>17800226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7559</v>
      </c>
      <c r="I155" s="1">
        <v>0</v>
      </c>
      <c r="J155" s="3">
        <v>2529026</v>
      </c>
      <c r="K155" s="3">
        <v>2521467</v>
      </c>
      <c r="L155" s="3">
        <v>2521467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1681520</v>
      </c>
      <c r="T155" s="3">
        <v>1681520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251643</v>
      </c>
      <c r="Z155" s="3">
        <v>251643</v>
      </c>
      <c r="AA155" s="4">
        <v>251642</v>
      </c>
      <c r="AB155" s="4">
        <v>251642</v>
      </c>
      <c r="AC155" s="4">
        <v>251642</v>
      </c>
      <c r="AD155" s="4">
        <v>251643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1263255</v>
      </c>
      <c r="AJ155" s="4">
        <v>1514898</v>
      </c>
      <c r="AK155" s="4">
        <v>1766540</v>
      </c>
      <c r="AL155" s="4">
        <v>2018182</v>
      </c>
      <c r="AM155" s="4">
        <v>2269824</v>
      </c>
      <c r="AN155" s="4">
        <v>2521467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10516</v>
      </c>
      <c r="I156" s="1">
        <v>0</v>
      </c>
      <c r="J156" s="3">
        <v>3691173</v>
      </c>
      <c r="K156" s="3">
        <v>3680657</v>
      </c>
      <c r="L156" s="3">
        <v>3680657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2887166</v>
      </c>
      <c r="T156" s="3">
        <v>2887166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367365</v>
      </c>
      <c r="Z156" s="3">
        <v>367365</v>
      </c>
      <c r="AA156" s="4">
        <v>367365</v>
      </c>
      <c r="AB156" s="4">
        <v>367365</v>
      </c>
      <c r="AC156" s="4">
        <v>367365</v>
      </c>
      <c r="AD156" s="4">
        <v>367364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1843833</v>
      </c>
      <c r="AJ156" s="4">
        <v>2211198</v>
      </c>
      <c r="AK156" s="4">
        <v>2578563</v>
      </c>
      <c r="AL156" s="4">
        <v>2945928</v>
      </c>
      <c r="AM156" s="4">
        <v>3313293</v>
      </c>
      <c r="AN156" s="4">
        <v>3680657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39206</v>
      </c>
      <c r="I157" s="1">
        <v>0</v>
      </c>
      <c r="J157" s="3">
        <v>14974255</v>
      </c>
      <c r="K157" s="3">
        <v>14935049</v>
      </c>
      <c r="L157" s="3">
        <v>14935049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12236869</v>
      </c>
      <c r="T157" s="3">
        <v>12236869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1490891</v>
      </c>
      <c r="Z157" s="3">
        <v>1490891</v>
      </c>
      <c r="AA157" s="4">
        <v>1490891</v>
      </c>
      <c r="AB157" s="4">
        <v>1490891</v>
      </c>
      <c r="AC157" s="4">
        <v>1490891</v>
      </c>
      <c r="AD157" s="4">
        <v>1490890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7480595</v>
      </c>
      <c r="AJ157" s="4">
        <v>8971486</v>
      </c>
      <c r="AK157" s="4">
        <v>10462377</v>
      </c>
      <c r="AL157" s="4">
        <v>11953268</v>
      </c>
      <c r="AM157" s="4">
        <v>13444159</v>
      </c>
      <c r="AN157" s="4">
        <v>14935049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12607</v>
      </c>
      <c r="I158" s="1">
        <v>0</v>
      </c>
      <c r="J158" s="3">
        <v>4012477</v>
      </c>
      <c r="K158" s="3">
        <v>3999870</v>
      </c>
      <c r="L158" s="3">
        <v>3999870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3020072</v>
      </c>
      <c r="T158" s="3">
        <v>3020072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399146</v>
      </c>
      <c r="Z158" s="3">
        <v>399146</v>
      </c>
      <c r="AA158" s="4">
        <v>399147</v>
      </c>
      <c r="AB158" s="4">
        <v>399147</v>
      </c>
      <c r="AC158" s="4">
        <v>399147</v>
      </c>
      <c r="AD158" s="4">
        <v>399145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2004138</v>
      </c>
      <c r="AJ158" s="4">
        <v>2403284</v>
      </c>
      <c r="AK158" s="4">
        <v>2802431</v>
      </c>
      <c r="AL158" s="4">
        <v>3201578</v>
      </c>
      <c r="AM158" s="4">
        <v>3600725</v>
      </c>
      <c r="AN158" s="4">
        <v>3999870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6620</v>
      </c>
      <c r="I159" s="3">
        <v>0</v>
      </c>
      <c r="J159" s="3">
        <v>2904921</v>
      </c>
      <c r="K159" s="3">
        <v>2898301</v>
      </c>
      <c r="L159" s="3">
        <v>2898301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2254861</v>
      </c>
      <c r="T159" s="3">
        <v>2254861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289389</v>
      </c>
      <c r="Z159" s="3">
        <v>289389</v>
      </c>
      <c r="AA159" s="4">
        <v>289389</v>
      </c>
      <c r="AB159" s="4">
        <v>289389</v>
      </c>
      <c r="AC159" s="4">
        <v>289389</v>
      </c>
      <c r="AD159" s="4">
        <v>289388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1451357</v>
      </c>
      <c r="AJ159" s="4">
        <v>1740746</v>
      </c>
      <c r="AK159" s="4">
        <v>2030135</v>
      </c>
      <c r="AL159" s="4">
        <v>2319524</v>
      </c>
      <c r="AM159" s="4">
        <v>2608913</v>
      </c>
      <c r="AN159" s="4">
        <v>2898301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7183</v>
      </c>
      <c r="I160" s="1">
        <v>0</v>
      </c>
      <c r="J160" s="3">
        <v>2445628</v>
      </c>
      <c r="K160" s="3">
        <v>2438445</v>
      </c>
      <c r="L160" s="3">
        <v>2438445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1804999</v>
      </c>
      <c r="T160" s="3">
        <v>1804999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243366</v>
      </c>
      <c r="Z160" s="3">
        <v>243366</v>
      </c>
      <c r="AA160" s="4">
        <v>243365</v>
      </c>
      <c r="AB160" s="4">
        <v>243365</v>
      </c>
      <c r="AC160" s="4">
        <v>243365</v>
      </c>
      <c r="AD160" s="4">
        <v>243366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1221618</v>
      </c>
      <c r="AJ160" s="4">
        <v>1464984</v>
      </c>
      <c r="AK160" s="4">
        <v>1708349</v>
      </c>
      <c r="AL160" s="4">
        <v>1951714</v>
      </c>
      <c r="AM160" s="4">
        <v>2195079</v>
      </c>
      <c r="AN160" s="4">
        <v>2438445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13711</v>
      </c>
      <c r="I161" s="1">
        <v>0</v>
      </c>
      <c r="J161" s="3">
        <v>4618659</v>
      </c>
      <c r="K161" s="3">
        <v>4604948</v>
      </c>
      <c r="L161" s="3">
        <v>4604948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3528652</v>
      </c>
      <c r="T161" s="3">
        <v>3528652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459581</v>
      </c>
      <c r="Z161" s="3">
        <v>459581</v>
      </c>
      <c r="AA161" s="4">
        <v>459581</v>
      </c>
      <c r="AB161" s="4">
        <v>459581</v>
      </c>
      <c r="AC161" s="4">
        <v>459581</v>
      </c>
      <c r="AD161" s="4">
        <v>459579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2307045</v>
      </c>
      <c r="AJ161" s="4">
        <v>2766626</v>
      </c>
      <c r="AK161" s="4">
        <v>3226207</v>
      </c>
      <c r="AL161" s="4">
        <v>3685788</v>
      </c>
      <c r="AM161" s="4">
        <v>4145369</v>
      </c>
      <c r="AN161" s="4">
        <v>4604948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11155</v>
      </c>
      <c r="I162" s="3">
        <v>75540</v>
      </c>
      <c r="J162" s="3">
        <v>3693547</v>
      </c>
      <c r="K162" s="3">
        <v>3682392</v>
      </c>
      <c r="L162" s="3">
        <v>3606852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2606773</v>
      </c>
      <c r="T162" s="3">
        <v>2531233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367495</v>
      </c>
      <c r="Z162" s="3">
        <v>367495</v>
      </c>
      <c r="AA162" s="4">
        <v>348611</v>
      </c>
      <c r="AB162" s="4">
        <v>348611</v>
      </c>
      <c r="AC162" s="4">
        <v>348611</v>
      </c>
      <c r="AD162" s="4">
        <v>348609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1844915</v>
      </c>
      <c r="AJ162" s="4">
        <v>2212410</v>
      </c>
      <c r="AK162" s="4">
        <v>2561021</v>
      </c>
      <c r="AL162" s="4">
        <v>2909632</v>
      </c>
      <c r="AM162" s="4">
        <v>3258243</v>
      </c>
      <c r="AN162" s="4">
        <v>3606852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49091</v>
      </c>
      <c r="I163" s="3">
        <v>0</v>
      </c>
      <c r="J163" s="3">
        <v>16285882</v>
      </c>
      <c r="K163" s="3">
        <v>16236791</v>
      </c>
      <c r="L163" s="3">
        <v>16236791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12555362</v>
      </c>
      <c r="T163" s="3">
        <v>12555362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1620407</v>
      </c>
      <c r="Z163" s="3">
        <v>1620407</v>
      </c>
      <c r="AA163" s="4">
        <v>1620406</v>
      </c>
      <c r="AB163" s="4">
        <v>1620406</v>
      </c>
      <c r="AC163" s="4">
        <v>1620406</v>
      </c>
      <c r="AD163" s="4">
        <v>1620407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8134759</v>
      </c>
      <c r="AJ163" s="4">
        <v>9755166</v>
      </c>
      <c r="AK163" s="4">
        <v>11375572</v>
      </c>
      <c r="AL163" s="4">
        <v>12995978</v>
      </c>
      <c r="AM163" s="4">
        <v>14616384</v>
      </c>
      <c r="AN163" s="4">
        <v>16236791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10339</v>
      </c>
      <c r="I164" s="1">
        <v>0</v>
      </c>
      <c r="J164" s="3">
        <v>3773217</v>
      </c>
      <c r="K164" s="3">
        <v>3762878</v>
      </c>
      <c r="L164" s="3">
        <v>3762878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2838794</v>
      </c>
      <c r="T164" s="3">
        <v>2838794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375598</v>
      </c>
      <c r="Z164" s="3">
        <v>375598</v>
      </c>
      <c r="AA164" s="4">
        <v>375599</v>
      </c>
      <c r="AB164" s="4">
        <v>375599</v>
      </c>
      <c r="AC164" s="4">
        <v>375599</v>
      </c>
      <c r="AD164" s="4">
        <v>375597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1884886</v>
      </c>
      <c r="AJ164" s="4">
        <v>2260484</v>
      </c>
      <c r="AK164" s="4">
        <v>2636083</v>
      </c>
      <c r="AL164" s="4">
        <v>3011682</v>
      </c>
      <c r="AM164" s="4">
        <v>3387281</v>
      </c>
      <c r="AN164" s="4">
        <v>3762878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59660</v>
      </c>
      <c r="I165" s="3">
        <v>0</v>
      </c>
      <c r="J165" s="3">
        <v>16500282</v>
      </c>
      <c r="K165" s="3">
        <v>16440622</v>
      </c>
      <c r="L165" s="3">
        <v>16440622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12478536</v>
      </c>
      <c r="T165" s="3">
        <v>12478536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1640085</v>
      </c>
      <c r="Z165" s="3">
        <v>1640085</v>
      </c>
      <c r="AA165" s="4">
        <v>1640085</v>
      </c>
      <c r="AB165" s="4">
        <v>1640085</v>
      </c>
      <c r="AC165" s="4">
        <v>1640085</v>
      </c>
      <c r="AD165" s="4">
        <v>1640085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8240197</v>
      </c>
      <c r="AJ165" s="4">
        <v>9880282</v>
      </c>
      <c r="AK165" s="4">
        <v>11520367</v>
      </c>
      <c r="AL165" s="4">
        <v>13160452</v>
      </c>
      <c r="AM165" s="4">
        <v>14800537</v>
      </c>
      <c r="AN165" s="4">
        <v>16440622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16051</v>
      </c>
      <c r="I166" s="3">
        <v>0</v>
      </c>
      <c r="J166" s="3">
        <v>5562631</v>
      </c>
      <c r="K166" s="3">
        <v>5546580</v>
      </c>
      <c r="L166" s="3">
        <v>5546580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4017808</v>
      </c>
      <c r="T166" s="3">
        <v>4017808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553588</v>
      </c>
      <c r="Z166" s="3">
        <v>553588</v>
      </c>
      <c r="AA166" s="4">
        <v>553588</v>
      </c>
      <c r="AB166" s="4">
        <v>553588</v>
      </c>
      <c r="AC166" s="4">
        <v>553588</v>
      </c>
      <c r="AD166" s="4">
        <v>553588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2778640</v>
      </c>
      <c r="AJ166" s="4">
        <v>3332228</v>
      </c>
      <c r="AK166" s="4">
        <v>3885816</v>
      </c>
      <c r="AL166" s="4">
        <v>4439404</v>
      </c>
      <c r="AM166" s="4">
        <v>4992992</v>
      </c>
      <c r="AN166" s="4">
        <v>5546580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170874</v>
      </c>
      <c r="I167" s="1">
        <v>0</v>
      </c>
      <c r="J167" s="3">
        <v>60303212</v>
      </c>
      <c r="K167" s="3">
        <v>60132338</v>
      </c>
      <c r="L167" s="3">
        <v>60132338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49247632</v>
      </c>
      <c r="T167" s="3">
        <v>49247632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6001842</v>
      </c>
      <c r="Z167" s="3">
        <v>6001842</v>
      </c>
      <c r="AA167" s="4">
        <v>6001843</v>
      </c>
      <c r="AB167" s="4">
        <v>6001843</v>
      </c>
      <c r="AC167" s="4">
        <v>6001843</v>
      </c>
      <c r="AD167" s="4">
        <v>6001841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30123126</v>
      </c>
      <c r="AJ167" s="4">
        <v>36124968</v>
      </c>
      <c r="AK167" s="4">
        <v>42126811</v>
      </c>
      <c r="AL167" s="4">
        <v>48128654</v>
      </c>
      <c r="AM167" s="4">
        <v>54130497</v>
      </c>
      <c r="AN167" s="4">
        <v>60132338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15469</v>
      </c>
      <c r="I168" s="3">
        <v>35937</v>
      </c>
      <c r="J168" s="3">
        <v>6229044</v>
      </c>
      <c r="K168" s="3">
        <v>6213575</v>
      </c>
      <c r="L168" s="3">
        <v>6177638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4808340</v>
      </c>
      <c r="T168" s="3">
        <v>4772403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620327</v>
      </c>
      <c r="Z168" s="3">
        <v>620327</v>
      </c>
      <c r="AA168" s="4">
        <v>611342</v>
      </c>
      <c r="AB168" s="4">
        <v>611342</v>
      </c>
      <c r="AC168" s="4">
        <v>611342</v>
      </c>
      <c r="AD168" s="4">
        <v>611342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3111943</v>
      </c>
      <c r="AJ168" s="4">
        <v>3732270</v>
      </c>
      <c r="AK168" s="4">
        <v>4343612</v>
      </c>
      <c r="AL168" s="4">
        <v>4954954</v>
      </c>
      <c r="AM168" s="4">
        <v>5566296</v>
      </c>
      <c r="AN168" s="4">
        <v>6177638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13362</v>
      </c>
      <c r="I169" s="1">
        <v>0</v>
      </c>
      <c r="J169" s="3">
        <v>4772259</v>
      </c>
      <c r="K169" s="3">
        <v>4758897</v>
      </c>
      <c r="L169" s="3">
        <v>4758897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3616097</v>
      </c>
      <c r="T169" s="3">
        <v>3616097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474999</v>
      </c>
      <c r="Z169" s="3">
        <v>474999</v>
      </c>
      <c r="AA169" s="4">
        <v>474999</v>
      </c>
      <c r="AB169" s="4">
        <v>474999</v>
      </c>
      <c r="AC169" s="4">
        <v>474999</v>
      </c>
      <c r="AD169" s="4">
        <v>474998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2383903</v>
      </c>
      <c r="AJ169" s="4">
        <v>2858902</v>
      </c>
      <c r="AK169" s="4">
        <v>3333901</v>
      </c>
      <c r="AL169" s="4">
        <v>3808900</v>
      </c>
      <c r="AM169" s="4">
        <v>4283899</v>
      </c>
      <c r="AN169" s="4">
        <v>4758897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6836</v>
      </c>
      <c r="I170" s="3">
        <v>0</v>
      </c>
      <c r="J170" s="3">
        <v>2269993</v>
      </c>
      <c r="K170" s="3">
        <v>2263157</v>
      </c>
      <c r="L170" s="3">
        <v>2263157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1418555</v>
      </c>
      <c r="T170" s="3">
        <v>1418555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225860</v>
      </c>
      <c r="Z170" s="3">
        <v>225860</v>
      </c>
      <c r="AA170" s="4">
        <v>225860</v>
      </c>
      <c r="AB170" s="4">
        <v>225860</v>
      </c>
      <c r="AC170" s="4">
        <v>225860</v>
      </c>
      <c r="AD170" s="4">
        <v>225861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1133856</v>
      </c>
      <c r="AJ170" s="4">
        <v>1359716</v>
      </c>
      <c r="AK170" s="4">
        <v>1585576</v>
      </c>
      <c r="AL170" s="4">
        <v>1811436</v>
      </c>
      <c r="AM170" s="4">
        <v>2037296</v>
      </c>
      <c r="AN170" s="4">
        <v>2263157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15255</v>
      </c>
      <c r="I171" s="1">
        <v>0</v>
      </c>
      <c r="J171" s="3">
        <v>5352101</v>
      </c>
      <c r="K171" s="3">
        <v>5336846</v>
      </c>
      <c r="L171" s="3">
        <v>5336846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4062025</v>
      </c>
      <c r="T171" s="3">
        <v>4062025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532668</v>
      </c>
      <c r="Z171" s="3">
        <v>532668</v>
      </c>
      <c r="AA171" s="4">
        <v>532668</v>
      </c>
      <c r="AB171" s="4">
        <v>532668</v>
      </c>
      <c r="AC171" s="4">
        <v>532668</v>
      </c>
      <c r="AD171" s="4">
        <v>532666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2673508</v>
      </c>
      <c r="AJ171" s="4">
        <v>3206176</v>
      </c>
      <c r="AK171" s="4">
        <v>3738844</v>
      </c>
      <c r="AL171" s="4">
        <v>4271512</v>
      </c>
      <c r="AM171" s="4">
        <v>4804180</v>
      </c>
      <c r="AN171" s="4">
        <v>5336846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9709</v>
      </c>
      <c r="I172" s="1">
        <v>0</v>
      </c>
      <c r="J172" s="3">
        <v>3234149</v>
      </c>
      <c r="K172" s="3">
        <v>3224440</v>
      </c>
      <c r="L172" s="3">
        <v>3224440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2230360</v>
      </c>
      <c r="T172" s="3">
        <v>2230360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321797</v>
      </c>
      <c r="Z172" s="3">
        <v>321797</v>
      </c>
      <c r="AA172" s="4">
        <v>321797</v>
      </c>
      <c r="AB172" s="4">
        <v>321797</v>
      </c>
      <c r="AC172" s="4">
        <v>321797</v>
      </c>
      <c r="AD172" s="4">
        <v>321795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1615457</v>
      </c>
      <c r="AJ172" s="4">
        <v>1937254</v>
      </c>
      <c r="AK172" s="4">
        <v>2259051</v>
      </c>
      <c r="AL172" s="4">
        <v>2580848</v>
      </c>
      <c r="AM172" s="4">
        <v>2902645</v>
      </c>
      <c r="AN172" s="4">
        <v>3224440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14126</v>
      </c>
      <c r="I173" s="1">
        <v>0</v>
      </c>
      <c r="J173" s="3">
        <v>5435520</v>
      </c>
      <c r="K173" s="3">
        <v>5421394</v>
      </c>
      <c r="L173" s="3">
        <v>5421394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4312282</v>
      </c>
      <c r="T173" s="3">
        <v>4312282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541198</v>
      </c>
      <c r="Z173" s="3">
        <v>541198</v>
      </c>
      <c r="AA173" s="4">
        <v>541198</v>
      </c>
      <c r="AB173" s="4">
        <v>541198</v>
      </c>
      <c r="AC173" s="4">
        <v>541198</v>
      </c>
      <c r="AD173" s="4">
        <v>541196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2715406</v>
      </c>
      <c r="AJ173" s="4">
        <v>3256604</v>
      </c>
      <c r="AK173" s="4">
        <v>3797802</v>
      </c>
      <c r="AL173" s="4">
        <v>4339000</v>
      </c>
      <c r="AM173" s="4">
        <v>4880198</v>
      </c>
      <c r="AN173" s="4">
        <v>5421394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12541</v>
      </c>
      <c r="I174" s="1">
        <v>0</v>
      </c>
      <c r="J174" s="3">
        <v>3830028</v>
      </c>
      <c r="K174" s="3">
        <v>3817487</v>
      </c>
      <c r="L174" s="3">
        <v>3817487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2759847</v>
      </c>
      <c r="T174" s="3">
        <v>2759847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380913</v>
      </c>
      <c r="Z174" s="3">
        <v>380913</v>
      </c>
      <c r="AA174" s="4">
        <v>380912</v>
      </c>
      <c r="AB174" s="4">
        <v>380912</v>
      </c>
      <c r="AC174" s="4">
        <v>380912</v>
      </c>
      <c r="AD174" s="4">
        <v>380913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1912925</v>
      </c>
      <c r="AJ174" s="4">
        <v>2293838</v>
      </c>
      <c r="AK174" s="4">
        <v>2674750</v>
      </c>
      <c r="AL174" s="4">
        <v>3055662</v>
      </c>
      <c r="AM174" s="4">
        <v>3436574</v>
      </c>
      <c r="AN174" s="4">
        <v>3817487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15056</v>
      </c>
      <c r="I175" s="1">
        <v>0</v>
      </c>
      <c r="J175" s="3">
        <v>4324219</v>
      </c>
      <c r="K175" s="3">
        <v>4309163</v>
      </c>
      <c r="L175" s="3">
        <v>4309163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3016351</v>
      </c>
      <c r="T175" s="3">
        <v>3016351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429913</v>
      </c>
      <c r="Z175" s="3">
        <v>429913</v>
      </c>
      <c r="AA175" s="4">
        <v>429912</v>
      </c>
      <c r="AB175" s="4">
        <v>429912</v>
      </c>
      <c r="AC175" s="4">
        <v>429912</v>
      </c>
      <c r="AD175" s="4">
        <v>429913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2159601</v>
      </c>
      <c r="AJ175" s="4">
        <v>2589514</v>
      </c>
      <c r="AK175" s="4">
        <v>3019426</v>
      </c>
      <c r="AL175" s="4">
        <v>3449338</v>
      </c>
      <c r="AM175" s="4">
        <v>3879250</v>
      </c>
      <c r="AN175" s="4">
        <v>4309163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12776</v>
      </c>
      <c r="I176" s="1">
        <v>0</v>
      </c>
      <c r="J176" s="3">
        <v>3437054</v>
      </c>
      <c r="K176" s="3">
        <v>3424278</v>
      </c>
      <c r="L176" s="3">
        <v>3424278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2330132</v>
      </c>
      <c r="T176" s="3">
        <v>2330132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341576</v>
      </c>
      <c r="Z176" s="3">
        <v>341576</v>
      </c>
      <c r="AA176" s="4">
        <v>341577</v>
      </c>
      <c r="AB176" s="4">
        <v>341577</v>
      </c>
      <c r="AC176" s="4">
        <v>341577</v>
      </c>
      <c r="AD176" s="4">
        <v>341575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1716396</v>
      </c>
      <c r="AJ176" s="4">
        <v>2057972</v>
      </c>
      <c r="AK176" s="4">
        <v>2399549</v>
      </c>
      <c r="AL176" s="4">
        <v>2741126</v>
      </c>
      <c r="AM176" s="4">
        <v>3082703</v>
      </c>
      <c r="AN176" s="4">
        <v>3424278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27393</v>
      </c>
      <c r="I177" s="1">
        <v>0</v>
      </c>
      <c r="J177" s="3">
        <v>11363140</v>
      </c>
      <c r="K177" s="3">
        <v>11335747</v>
      </c>
      <c r="L177" s="3">
        <v>11335747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8899645</v>
      </c>
      <c r="T177" s="3">
        <v>8899645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1131749</v>
      </c>
      <c r="Z177" s="3">
        <v>1131749</v>
      </c>
      <c r="AA177" s="4">
        <v>1131748</v>
      </c>
      <c r="AB177" s="4">
        <v>1131748</v>
      </c>
      <c r="AC177" s="4">
        <v>1131748</v>
      </c>
      <c r="AD177" s="4">
        <v>1131749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5677005</v>
      </c>
      <c r="AJ177" s="4">
        <v>6808754</v>
      </c>
      <c r="AK177" s="4">
        <v>7940502</v>
      </c>
      <c r="AL177" s="4">
        <v>9072250</v>
      </c>
      <c r="AM177" s="4">
        <v>10203998</v>
      </c>
      <c r="AN177" s="4">
        <v>11335747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15321</v>
      </c>
      <c r="I178" s="1">
        <v>0</v>
      </c>
      <c r="J178" s="3">
        <v>4453295</v>
      </c>
      <c r="K178" s="3">
        <v>4437974</v>
      </c>
      <c r="L178" s="3">
        <v>4437974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3160494</v>
      </c>
      <c r="T178" s="3">
        <v>3160494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442776</v>
      </c>
      <c r="Z178" s="3">
        <v>442776</v>
      </c>
      <c r="AA178" s="4">
        <v>442776</v>
      </c>
      <c r="AB178" s="4">
        <v>442776</v>
      </c>
      <c r="AC178" s="4">
        <v>442776</v>
      </c>
      <c r="AD178" s="4">
        <v>442774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2224096</v>
      </c>
      <c r="AJ178" s="4">
        <v>2666872</v>
      </c>
      <c r="AK178" s="4">
        <v>3109648</v>
      </c>
      <c r="AL178" s="4">
        <v>3552424</v>
      </c>
      <c r="AM178" s="4">
        <v>3995200</v>
      </c>
      <c r="AN178" s="4">
        <v>4437974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10143</v>
      </c>
      <c r="I179" s="3">
        <v>0</v>
      </c>
      <c r="J179" s="3">
        <v>2504873</v>
      </c>
      <c r="K179" s="3">
        <v>2494730</v>
      </c>
      <c r="L179" s="3">
        <v>2494730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1471972</v>
      </c>
      <c r="T179" s="3">
        <v>1471972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248797</v>
      </c>
      <c r="Z179" s="3">
        <v>248797</v>
      </c>
      <c r="AA179" s="4">
        <v>248797</v>
      </c>
      <c r="AB179" s="4">
        <v>248797</v>
      </c>
      <c r="AC179" s="4">
        <v>248797</v>
      </c>
      <c r="AD179" s="4">
        <v>248797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1250745</v>
      </c>
      <c r="AJ179" s="4">
        <v>1499542</v>
      </c>
      <c r="AK179" s="4">
        <v>1748339</v>
      </c>
      <c r="AL179" s="4">
        <v>1997136</v>
      </c>
      <c r="AM179" s="4">
        <v>2245933</v>
      </c>
      <c r="AN179" s="4">
        <v>2494730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38921</v>
      </c>
      <c r="I180" s="1">
        <v>0</v>
      </c>
      <c r="J180" s="3">
        <v>15858011</v>
      </c>
      <c r="K180" s="3">
        <v>15819090</v>
      </c>
      <c r="L180" s="3">
        <v>15819090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12782619</v>
      </c>
      <c r="T180" s="3">
        <v>12782619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1579314</v>
      </c>
      <c r="Z180" s="3">
        <v>1579314</v>
      </c>
      <c r="AA180" s="4">
        <v>1579315</v>
      </c>
      <c r="AB180" s="4">
        <v>1579315</v>
      </c>
      <c r="AC180" s="4">
        <v>1579315</v>
      </c>
      <c r="AD180" s="4">
        <v>1579313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7922518</v>
      </c>
      <c r="AJ180" s="4">
        <v>9501832</v>
      </c>
      <c r="AK180" s="4">
        <v>11081147</v>
      </c>
      <c r="AL180" s="4">
        <v>12660462</v>
      </c>
      <c r="AM180" s="4">
        <v>14239777</v>
      </c>
      <c r="AN180" s="4">
        <v>15819090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122684</v>
      </c>
      <c r="I181" s="1">
        <v>0</v>
      </c>
      <c r="J181" s="3">
        <v>52065007</v>
      </c>
      <c r="K181" s="3">
        <v>51942323</v>
      </c>
      <c r="L181" s="3">
        <v>51942323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43659127</v>
      </c>
      <c r="T181" s="3">
        <v>43659127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5186053</v>
      </c>
      <c r="Z181" s="3">
        <v>5186053</v>
      </c>
      <c r="AA181" s="4">
        <v>5186053</v>
      </c>
      <c r="AB181" s="4">
        <v>5186053</v>
      </c>
      <c r="AC181" s="4">
        <v>5186053</v>
      </c>
      <c r="AD181" s="4">
        <v>5186054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26012057</v>
      </c>
      <c r="AJ181" s="4">
        <v>31198110</v>
      </c>
      <c r="AK181" s="4">
        <v>36384163</v>
      </c>
      <c r="AL181" s="4">
        <v>41570216</v>
      </c>
      <c r="AM181" s="4">
        <v>46756269</v>
      </c>
      <c r="AN181" s="4">
        <v>51942323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10808</v>
      </c>
      <c r="I182" s="1">
        <v>0</v>
      </c>
      <c r="J182" s="3">
        <v>3773968</v>
      </c>
      <c r="K182" s="3">
        <v>3763160</v>
      </c>
      <c r="L182" s="3">
        <v>3763160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2808808</v>
      </c>
      <c r="T182" s="3">
        <v>2808808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375595</v>
      </c>
      <c r="Z182" s="3">
        <v>375595</v>
      </c>
      <c r="AA182" s="4">
        <v>375596</v>
      </c>
      <c r="AB182" s="4">
        <v>375596</v>
      </c>
      <c r="AC182" s="4">
        <v>375596</v>
      </c>
      <c r="AD182" s="4">
        <v>375594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1885183</v>
      </c>
      <c r="AJ182" s="4">
        <v>2260778</v>
      </c>
      <c r="AK182" s="4">
        <v>2636374</v>
      </c>
      <c r="AL182" s="4">
        <v>3011970</v>
      </c>
      <c r="AM182" s="4">
        <v>3387566</v>
      </c>
      <c r="AN182" s="4">
        <v>3763160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74796</v>
      </c>
      <c r="I183" s="1">
        <v>0</v>
      </c>
      <c r="J183" s="3">
        <v>27393232</v>
      </c>
      <c r="K183" s="3">
        <v>27318436</v>
      </c>
      <c r="L183" s="3">
        <v>27318436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21787508</v>
      </c>
      <c r="T183" s="3">
        <v>21787508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2726857</v>
      </c>
      <c r="Z183" s="3">
        <v>2726857</v>
      </c>
      <c r="AA183" s="4">
        <v>2726858</v>
      </c>
      <c r="AB183" s="4">
        <v>2726858</v>
      </c>
      <c r="AC183" s="4">
        <v>2726858</v>
      </c>
      <c r="AD183" s="4">
        <v>2726856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13684149</v>
      </c>
      <c r="AJ183" s="4">
        <v>16411006</v>
      </c>
      <c r="AK183" s="4">
        <v>19137864</v>
      </c>
      <c r="AL183" s="4">
        <v>21864722</v>
      </c>
      <c r="AM183" s="4">
        <v>24591580</v>
      </c>
      <c r="AN183" s="4">
        <v>27318436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34876</v>
      </c>
      <c r="I184" s="1">
        <v>0</v>
      </c>
      <c r="J184" s="3">
        <v>11370755</v>
      </c>
      <c r="K184" s="3">
        <v>11335879</v>
      </c>
      <c r="L184" s="3">
        <v>11335879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8529272</v>
      </c>
      <c r="T184" s="3">
        <v>8529272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1131263</v>
      </c>
      <c r="Z184" s="3">
        <v>1131263</v>
      </c>
      <c r="AA184" s="4">
        <v>1131262</v>
      </c>
      <c r="AB184" s="4">
        <v>1131262</v>
      </c>
      <c r="AC184" s="4">
        <v>1131262</v>
      </c>
      <c r="AD184" s="4">
        <v>1131263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5679567</v>
      </c>
      <c r="AJ184" s="4">
        <v>6810830</v>
      </c>
      <c r="AK184" s="4">
        <v>7942092</v>
      </c>
      <c r="AL184" s="4">
        <v>9073354</v>
      </c>
      <c r="AM184" s="4">
        <v>10204616</v>
      </c>
      <c r="AN184" s="4">
        <v>11335879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19852</v>
      </c>
      <c r="I185" s="1">
        <v>0</v>
      </c>
      <c r="J185" s="3">
        <v>6607374</v>
      </c>
      <c r="K185" s="3">
        <v>6587522</v>
      </c>
      <c r="L185" s="3">
        <v>6587522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5201474</v>
      </c>
      <c r="T185" s="3">
        <v>5201474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657429</v>
      </c>
      <c r="Z185" s="3">
        <v>657429</v>
      </c>
      <c r="AA185" s="4">
        <v>657429</v>
      </c>
      <c r="AB185" s="4">
        <v>657429</v>
      </c>
      <c r="AC185" s="4">
        <v>657429</v>
      </c>
      <c r="AD185" s="4">
        <v>657429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3300377</v>
      </c>
      <c r="AJ185" s="4">
        <v>3957806</v>
      </c>
      <c r="AK185" s="4">
        <v>4615235</v>
      </c>
      <c r="AL185" s="4">
        <v>5272664</v>
      </c>
      <c r="AM185" s="4">
        <v>5930093</v>
      </c>
      <c r="AN185" s="4">
        <v>6587522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6553</v>
      </c>
      <c r="I186" s="3">
        <v>0</v>
      </c>
      <c r="J186" s="3">
        <v>2804852</v>
      </c>
      <c r="K186" s="3">
        <v>2798299</v>
      </c>
      <c r="L186" s="3">
        <v>2798299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2110102</v>
      </c>
      <c r="T186" s="3">
        <v>2110102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279393</v>
      </c>
      <c r="Z186" s="3">
        <v>279393</v>
      </c>
      <c r="AA186" s="4">
        <v>279393</v>
      </c>
      <c r="AB186" s="4">
        <v>279393</v>
      </c>
      <c r="AC186" s="4">
        <v>279393</v>
      </c>
      <c r="AD186" s="4">
        <v>279394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1401333</v>
      </c>
      <c r="AJ186" s="4">
        <v>1680726</v>
      </c>
      <c r="AK186" s="4">
        <v>1960119</v>
      </c>
      <c r="AL186" s="4">
        <v>2239512</v>
      </c>
      <c r="AM186" s="4">
        <v>2518905</v>
      </c>
      <c r="AN186" s="4">
        <v>2798299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11258</v>
      </c>
      <c r="I187" s="3">
        <v>0</v>
      </c>
      <c r="J187" s="3">
        <v>3717087</v>
      </c>
      <c r="K187" s="3">
        <v>3705829</v>
      </c>
      <c r="L187" s="3">
        <v>3705829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2826690</v>
      </c>
      <c r="T187" s="3">
        <v>2826690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369832</v>
      </c>
      <c r="Z187" s="3">
        <v>369832</v>
      </c>
      <c r="AA187" s="4">
        <v>369832</v>
      </c>
      <c r="AB187" s="4">
        <v>369832</v>
      </c>
      <c r="AC187" s="4">
        <v>369832</v>
      </c>
      <c r="AD187" s="4">
        <v>369833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1856668</v>
      </c>
      <c r="AJ187" s="4">
        <v>2226500</v>
      </c>
      <c r="AK187" s="4">
        <v>2596332</v>
      </c>
      <c r="AL187" s="4">
        <v>2966164</v>
      </c>
      <c r="AM187" s="4">
        <v>3335996</v>
      </c>
      <c r="AN187" s="4">
        <v>3705829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26328</v>
      </c>
      <c r="I188" s="3">
        <v>0</v>
      </c>
      <c r="J188" s="3">
        <v>8860743</v>
      </c>
      <c r="K188" s="3">
        <v>8834415</v>
      </c>
      <c r="L188" s="3">
        <v>8834415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6509919</v>
      </c>
      <c r="T188" s="3">
        <v>6509919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881687</v>
      </c>
      <c r="Z188" s="3">
        <v>881687</v>
      </c>
      <c r="AA188" s="4">
        <v>881686</v>
      </c>
      <c r="AB188" s="4">
        <v>881686</v>
      </c>
      <c r="AC188" s="4">
        <v>881686</v>
      </c>
      <c r="AD188" s="4">
        <v>881687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4425983</v>
      </c>
      <c r="AJ188" s="4">
        <v>5307670</v>
      </c>
      <c r="AK188" s="4">
        <v>6189356</v>
      </c>
      <c r="AL188" s="4">
        <v>7071042</v>
      </c>
      <c r="AM188" s="4">
        <v>7952728</v>
      </c>
      <c r="AN188" s="4">
        <v>8834415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16705</v>
      </c>
      <c r="I189" s="1">
        <v>0</v>
      </c>
      <c r="J189" s="3">
        <v>5866076</v>
      </c>
      <c r="K189" s="3">
        <v>5849371</v>
      </c>
      <c r="L189" s="3">
        <v>5849371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4527101</v>
      </c>
      <c r="T189" s="3">
        <v>4527101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583823</v>
      </c>
      <c r="Z189" s="3">
        <v>583823</v>
      </c>
      <c r="AA189" s="4">
        <v>583823</v>
      </c>
      <c r="AB189" s="4">
        <v>583823</v>
      </c>
      <c r="AC189" s="4">
        <v>583823</v>
      </c>
      <c r="AD189" s="4">
        <v>583824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2930255</v>
      </c>
      <c r="AJ189" s="4">
        <v>3514078</v>
      </c>
      <c r="AK189" s="4">
        <v>4097901</v>
      </c>
      <c r="AL189" s="4">
        <v>4681724</v>
      </c>
      <c r="AM189" s="4">
        <v>5265547</v>
      </c>
      <c r="AN189" s="4">
        <v>5849371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18126</v>
      </c>
      <c r="I190" s="1">
        <v>0</v>
      </c>
      <c r="J190" s="3">
        <v>6750599</v>
      </c>
      <c r="K190" s="3">
        <v>6732473</v>
      </c>
      <c r="L190" s="3">
        <v>6732473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5243811</v>
      </c>
      <c r="T190" s="3">
        <v>5243811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672039</v>
      </c>
      <c r="Z190" s="3">
        <v>672039</v>
      </c>
      <c r="AA190" s="4">
        <v>672039</v>
      </c>
      <c r="AB190" s="4">
        <v>672039</v>
      </c>
      <c r="AC190" s="4">
        <v>672039</v>
      </c>
      <c r="AD190" s="4">
        <v>672038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3372279</v>
      </c>
      <c r="AJ190" s="4">
        <v>4044318</v>
      </c>
      <c r="AK190" s="4">
        <v>4716357</v>
      </c>
      <c r="AL190" s="4">
        <v>5388396</v>
      </c>
      <c r="AM190" s="4">
        <v>6060435</v>
      </c>
      <c r="AN190" s="4">
        <v>6732473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10361</v>
      </c>
      <c r="I191" s="1">
        <v>0</v>
      </c>
      <c r="J191" s="3">
        <v>2198059</v>
      </c>
      <c r="K191" s="3">
        <v>2187698</v>
      </c>
      <c r="L191" s="3">
        <v>2187698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1277569</v>
      </c>
      <c r="T191" s="3">
        <v>1277569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218079</v>
      </c>
      <c r="Z191" s="3">
        <v>218079</v>
      </c>
      <c r="AA191" s="4">
        <v>218079</v>
      </c>
      <c r="AB191" s="4">
        <v>218079</v>
      </c>
      <c r="AC191" s="4">
        <v>218079</v>
      </c>
      <c r="AD191" s="4">
        <v>218079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1097303</v>
      </c>
      <c r="AJ191" s="4">
        <v>1315382</v>
      </c>
      <c r="AK191" s="4">
        <v>1533461</v>
      </c>
      <c r="AL191" s="4">
        <v>1751540</v>
      </c>
      <c r="AM191" s="4">
        <v>1969619</v>
      </c>
      <c r="AN191" s="4">
        <v>2187698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22064</v>
      </c>
      <c r="I192" s="3">
        <v>0</v>
      </c>
      <c r="J192" s="3">
        <v>7853907</v>
      </c>
      <c r="K192" s="3">
        <v>7831843</v>
      </c>
      <c r="L192" s="3">
        <v>7831843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6031537</v>
      </c>
      <c r="T192" s="3">
        <v>6031537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781713</v>
      </c>
      <c r="Z192" s="3">
        <v>781713</v>
      </c>
      <c r="AA192" s="4">
        <v>781713</v>
      </c>
      <c r="AB192" s="4">
        <v>781713</v>
      </c>
      <c r="AC192" s="4">
        <v>781713</v>
      </c>
      <c r="AD192" s="4">
        <v>781714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3923277</v>
      </c>
      <c r="AJ192" s="4">
        <v>4704990</v>
      </c>
      <c r="AK192" s="4">
        <v>5486703</v>
      </c>
      <c r="AL192" s="4">
        <v>6268416</v>
      </c>
      <c r="AM192" s="4">
        <v>7050129</v>
      </c>
      <c r="AN192" s="4">
        <v>7831843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6941</v>
      </c>
      <c r="I193" s="3">
        <v>0</v>
      </c>
      <c r="J193" s="3">
        <v>2634487</v>
      </c>
      <c r="K193" s="3">
        <v>2627546</v>
      </c>
      <c r="L193" s="3">
        <v>2627546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1907549</v>
      </c>
      <c r="T193" s="3">
        <v>1907549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262292</v>
      </c>
      <c r="Z193" s="3">
        <v>262292</v>
      </c>
      <c r="AA193" s="4">
        <v>262292</v>
      </c>
      <c r="AB193" s="4">
        <v>262292</v>
      </c>
      <c r="AC193" s="4">
        <v>262292</v>
      </c>
      <c r="AD193" s="4">
        <v>262290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1316088</v>
      </c>
      <c r="AJ193" s="4">
        <v>1578380</v>
      </c>
      <c r="AK193" s="4">
        <v>1840672</v>
      </c>
      <c r="AL193" s="4">
        <v>2102964</v>
      </c>
      <c r="AM193" s="4">
        <v>2365256</v>
      </c>
      <c r="AN193" s="4">
        <v>2627546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4706</v>
      </c>
      <c r="I194" s="3">
        <v>0</v>
      </c>
      <c r="J194" s="3">
        <v>2045967</v>
      </c>
      <c r="K194" s="3">
        <v>2041261</v>
      </c>
      <c r="L194" s="3">
        <v>2041261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1406258</v>
      </c>
      <c r="T194" s="3">
        <v>1406258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203812</v>
      </c>
      <c r="Z194" s="3">
        <v>203812</v>
      </c>
      <c r="AA194" s="4">
        <v>203812</v>
      </c>
      <c r="AB194" s="4">
        <v>203812</v>
      </c>
      <c r="AC194" s="4">
        <v>203812</v>
      </c>
      <c r="AD194" s="4">
        <v>203813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1022200</v>
      </c>
      <c r="AJ194" s="4">
        <v>1226012</v>
      </c>
      <c r="AK194" s="4">
        <v>1429824</v>
      </c>
      <c r="AL194" s="4">
        <v>1633636</v>
      </c>
      <c r="AM194" s="4">
        <v>1837448</v>
      </c>
      <c r="AN194" s="4">
        <v>2041261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4355</v>
      </c>
      <c r="I195" s="3">
        <v>0</v>
      </c>
      <c r="J195" s="3">
        <v>1767420</v>
      </c>
      <c r="K195" s="3">
        <v>1763065</v>
      </c>
      <c r="L195" s="3">
        <v>1763065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1369887</v>
      </c>
      <c r="T195" s="3">
        <v>1369887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176016</v>
      </c>
      <c r="Z195" s="3">
        <v>176016</v>
      </c>
      <c r="AA195" s="4">
        <v>176016</v>
      </c>
      <c r="AB195" s="4">
        <v>176016</v>
      </c>
      <c r="AC195" s="4">
        <v>176016</v>
      </c>
      <c r="AD195" s="4">
        <v>176017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882984</v>
      </c>
      <c r="AJ195" s="4">
        <v>1059000</v>
      </c>
      <c r="AK195" s="4">
        <v>1235016</v>
      </c>
      <c r="AL195" s="4">
        <v>1411032</v>
      </c>
      <c r="AM195" s="4">
        <v>1587048</v>
      </c>
      <c r="AN195" s="4">
        <v>1763065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4647</v>
      </c>
      <c r="I196" s="3">
        <v>0</v>
      </c>
      <c r="J196" s="3">
        <v>1768997</v>
      </c>
      <c r="K196" s="3">
        <v>1764350</v>
      </c>
      <c r="L196" s="3">
        <v>1764350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1297542</v>
      </c>
      <c r="T196" s="3">
        <v>1297542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176125</v>
      </c>
      <c r="Z196" s="3">
        <v>176125</v>
      </c>
      <c r="AA196" s="4">
        <v>176125</v>
      </c>
      <c r="AB196" s="4">
        <v>176125</v>
      </c>
      <c r="AC196" s="4">
        <v>176125</v>
      </c>
      <c r="AD196" s="4">
        <v>176125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883725</v>
      </c>
      <c r="AJ196" s="4">
        <v>1059850</v>
      </c>
      <c r="AK196" s="4">
        <v>1235975</v>
      </c>
      <c r="AL196" s="4">
        <v>1412100</v>
      </c>
      <c r="AM196" s="4">
        <v>1588225</v>
      </c>
      <c r="AN196" s="4">
        <v>1764350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13392</v>
      </c>
      <c r="I197" s="3">
        <v>5979</v>
      </c>
      <c r="J197" s="3">
        <v>4405816</v>
      </c>
      <c r="K197" s="3">
        <v>4392424</v>
      </c>
      <c r="L197" s="3">
        <v>4386445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3290635</v>
      </c>
      <c r="T197" s="3">
        <v>3284656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438349</v>
      </c>
      <c r="Z197" s="3">
        <v>438349</v>
      </c>
      <c r="AA197" s="4">
        <v>436855</v>
      </c>
      <c r="AB197" s="4">
        <v>436855</v>
      </c>
      <c r="AC197" s="4">
        <v>436855</v>
      </c>
      <c r="AD197" s="4">
        <v>436854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2200677</v>
      </c>
      <c r="AJ197" s="4">
        <v>2639026</v>
      </c>
      <c r="AK197" s="4">
        <v>3075881</v>
      </c>
      <c r="AL197" s="4">
        <v>3512736</v>
      </c>
      <c r="AM197" s="4">
        <v>3949591</v>
      </c>
      <c r="AN197" s="4">
        <v>4386445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40066</v>
      </c>
      <c r="I198" s="3">
        <v>0</v>
      </c>
      <c r="J198" s="3">
        <v>14708939</v>
      </c>
      <c r="K198" s="3">
        <v>14668873</v>
      </c>
      <c r="L198" s="3">
        <v>14668873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11951129</v>
      </c>
      <c r="T198" s="3">
        <v>11951129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1464216</v>
      </c>
      <c r="Z198" s="3">
        <v>1464216</v>
      </c>
      <c r="AA198" s="4">
        <v>1464216</v>
      </c>
      <c r="AB198" s="4">
        <v>1464216</v>
      </c>
      <c r="AC198" s="4">
        <v>1464216</v>
      </c>
      <c r="AD198" s="4">
        <v>1464217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7347792</v>
      </c>
      <c r="AJ198" s="4">
        <v>8812008</v>
      </c>
      <c r="AK198" s="4">
        <v>10276224</v>
      </c>
      <c r="AL198" s="4">
        <v>11740440</v>
      </c>
      <c r="AM198" s="4">
        <v>13204656</v>
      </c>
      <c r="AN198" s="4">
        <v>14668873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24633</v>
      </c>
      <c r="I199" s="1">
        <v>0</v>
      </c>
      <c r="J199" s="3">
        <v>8697049</v>
      </c>
      <c r="K199" s="3">
        <v>8672416</v>
      </c>
      <c r="L199" s="3">
        <v>8672416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6912347</v>
      </c>
      <c r="T199" s="3">
        <v>6912347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865599</v>
      </c>
      <c r="Z199" s="3">
        <v>865599</v>
      </c>
      <c r="AA199" s="4">
        <v>865600</v>
      </c>
      <c r="AB199" s="4">
        <v>865600</v>
      </c>
      <c r="AC199" s="4">
        <v>865600</v>
      </c>
      <c r="AD199" s="4">
        <v>865598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4344419</v>
      </c>
      <c r="AJ199" s="4">
        <v>5210018</v>
      </c>
      <c r="AK199" s="4">
        <v>6075618</v>
      </c>
      <c r="AL199" s="4">
        <v>6941218</v>
      </c>
      <c r="AM199" s="4">
        <v>7806818</v>
      </c>
      <c r="AN199" s="4">
        <v>8672416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5003</v>
      </c>
      <c r="I200" s="3">
        <v>0</v>
      </c>
      <c r="J200" s="3">
        <v>2168072</v>
      </c>
      <c r="K200" s="3">
        <v>2163069</v>
      </c>
      <c r="L200" s="3">
        <v>2163069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1642727</v>
      </c>
      <c r="T200" s="3">
        <v>1642727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215974</v>
      </c>
      <c r="Z200" s="3">
        <v>215974</v>
      </c>
      <c r="AA200" s="4">
        <v>215973</v>
      </c>
      <c r="AB200" s="4">
        <v>215973</v>
      </c>
      <c r="AC200" s="4">
        <v>215973</v>
      </c>
      <c r="AD200" s="4">
        <v>215974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1083202</v>
      </c>
      <c r="AJ200" s="4">
        <v>1299176</v>
      </c>
      <c r="AK200" s="4">
        <v>1515149</v>
      </c>
      <c r="AL200" s="4">
        <v>1731122</v>
      </c>
      <c r="AM200" s="4">
        <v>1947095</v>
      </c>
      <c r="AN200" s="4">
        <v>2163069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98413</v>
      </c>
      <c r="I201" s="3">
        <v>0</v>
      </c>
      <c r="J201" s="3">
        <v>37608631</v>
      </c>
      <c r="K201" s="3">
        <v>37510218</v>
      </c>
      <c r="L201" s="3">
        <v>37510218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30458693</v>
      </c>
      <c r="T201" s="3">
        <v>30458693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3744461</v>
      </c>
      <c r="Z201" s="3">
        <v>3744461</v>
      </c>
      <c r="AA201" s="4">
        <v>3744461</v>
      </c>
      <c r="AB201" s="4">
        <v>3744461</v>
      </c>
      <c r="AC201" s="4">
        <v>3744461</v>
      </c>
      <c r="AD201" s="4">
        <v>3744461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18787913</v>
      </c>
      <c r="AJ201" s="4">
        <v>22532374</v>
      </c>
      <c r="AK201" s="4">
        <v>26276835</v>
      </c>
      <c r="AL201" s="4">
        <v>30021296</v>
      </c>
      <c r="AM201" s="4">
        <v>33765757</v>
      </c>
      <c r="AN201" s="4">
        <v>37510218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13079</v>
      </c>
      <c r="I202" s="1">
        <v>0</v>
      </c>
      <c r="J202" s="3">
        <v>4434611</v>
      </c>
      <c r="K202" s="3">
        <v>4421532</v>
      </c>
      <c r="L202" s="3">
        <v>4421532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3371383</v>
      </c>
      <c r="T202" s="3">
        <v>3371383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441281</v>
      </c>
      <c r="Z202" s="3">
        <v>441281</v>
      </c>
      <c r="AA202" s="4">
        <v>441282</v>
      </c>
      <c r="AB202" s="4">
        <v>441282</v>
      </c>
      <c r="AC202" s="4">
        <v>441282</v>
      </c>
      <c r="AD202" s="4">
        <v>441280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2215125</v>
      </c>
      <c r="AJ202" s="4">
        <v>2656406</v>
      </c>
      <c r="AK202" s="4">
        <v>3097688</v>
      </c>
      <c r="AL202" s="4">
        <v>3538970</v>
      </c>
      <c r="AM202" s="4">
        <v>3980252</v>
      </c>
      <c r="AN202" s="4">
        <v>4421532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31898</v>
      </c>
      <c r="I203" s="3">
        <v>0</v>
      </c>
      <c r="J203" s="3">
        <v>11216879</v>
      </c>
      <c r="K203" s="3">
        <v>11184981</v>
      </c>
      <c r="L203" s="3">
        <v>11184981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8845283</v>
      </c>
      <c r="T203" s="3">
        <v>8845283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1116372</v>
      </c>
      <c r="Z203" s="3">
        <v>1116372</v>
      </c>
      <c r="AA203" s="4">
        <v>1116371</v>
      </c>
      <c r="AB203" s="4">
        <v>1116371</v>
      </c>
      <c r="AC203" s="4">
        <v>1116371</v>
      </c>
      <c r="AD203" s="4">
        <v>1116372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5603124</v>
      </c>
      <c r="AJ203" s="4">
        <v>6719496</v>
      </c>
      <c r="AK203" s="4">
        <v>7835867</v>
      </c>
      <c r="AL203" s="4">
        <v>8952238</v>
      </c>
      <c r="AM203" s="4">
        <v>10068609</v>
      </c>
      <c r="AN203" s="4">
        <v>11184981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10304</v>
      </c>
      <c r="I204" s="1">
        <v>0</v>
      </c>
      <c r="J204" s="3">
        <v>3172268</v>
      </c>
      <c r="K204" s="3">
        <v>3161964</v>
      </c>
      <c r="L204" s="3">
        <v>3161964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2175644</v>
      </c>
      <c r="T204" s="3">
        <v>2175644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315509</v>
      </c>
      <c r="Z204" s="3">
        <v>315509</v>
      </c>
      <c r="AA204" s="4">
        <v>315510</v>
      </c>
      <c r="AB204" s="4">
        <v>315510</v>
      </c>
      <c r="AC204" s="4">
        <v>315510</v>
      </c>
      <c r="AD204" s="4">
        <v>315508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1584417</v>
      </c>
      <c r="AJ204" s="4">
        <v>1899926</v>
      </c>
      <c r="AK204" s="4">
        <v>2215436</v>
      </c>
      <c r="AL204" s="4">
        <v>2530946</v>
      </c>
      <c r="AM204" s="4">
        <v>2846456</v>
      </c>
      <c r="AN204" s="4">
        <v>3161964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22638</v>
      </c>
      <c r="I205" s="3">
        <v>0</v>
      </c>
      <c r="J205" s="3">
        <v>7292126</v>
      </c>
      <c r="K205" s="3">
        <v>7269488</v>
      </c>
      <c r="L205" s="3">
        <v>7269488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5409337</v>
      </c>
      <c r="T205" s="3">
        <v>5409337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725439</v>
      </c>
      <c r="Z205" s="3">
        <v>725439</v>
      </c>
      <c r="AA205" s="4">
        <v>725440</v>
      </c>
      <c r="AB205" s="4">
        <v>725440</v>
      </c>
      <c r="AC205" s="4">
        <v>725440</v>
      </c>
      <c r="AD205" s="4">
        <v>725438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3642291</v>
      </c>
      <c r="AJ205" s="4">
        <v>4367730</v>
      </c>
      <c r="AK205" s="4">
        <v>5093170</v>
      </c>
      <c r="AL205" s="4">
        <v>5818610</v>
      </c>
      <c r="AM205" s="4">
        <v>6544050</v>
      </c>
      <c r="AN205" s="4">
        <v>7269488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12425</v>
      </c>
      <c r="I206" s="3">
        <v>0</v>
      </c>
      <c r="J206" s="3">
        <v>5000199</v>
      </c>
      <c r="K206" s="3">
        <v>4987774</v>
      </c>
      <c r="L206" s="3">
        <v>4987774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4069586</v>
      </c>
      <c r="T206" s="3">
        <v>4069586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497949</v>
      </c>
      <c r="Z206" s="3">
        <v>497949</v>
      </c>
      <c r="AA206" s="4">
        <v>497949</v>
      </c>
      <c r="AB206" s="4">
        <v>497949</v>
      </c>
      <c r="AC206" s="4">
        <v>497949</v>
      </c>
      <c r="AD206" s="4">
        <v>497949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2498029</v>
      </c>
      <c r="AJ206" s="4">
        <v>2995978</v>
      </c>
      <c r="AK206" s="4">
        <v>3493927</v>
      </c>
      <c r="AL206" s="4">
        <v>3991876</v>
      </c>
      <c r="AM206" s="4">
        <v>4489825</v>
      </c>
      <c r="AN206" s="4">
        <v>4987774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64845</v>
      </c>
      <c r="I207" s="1">
        <v>0</v>
      </c>
      <c r="J207" s="3">
        <v>25024813</v>
      </c>
      <c r="K207" s="3">
        <v>24959968</v>
      </c>
      <c r="L207" s="3">
        <v>24959968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20801811</v>
      </c>
      <c r="T207" s="3">
        <v>20801811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2491674</v>
      </c>
      <c r="Z207" s="3">
        <v>2491674</v>
      </c>
      <c r="AA207" s="4">
        <v>2491674</v>
      </c>
      <c r="AB207" s="4">
        <v>2491674</v>
      </c>
      <c r="AC207" s="4">
        <v>2491674</v>
      </c>
      <c r="AD207" s="4">
        <v>2491674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12501598</v>
      </c>
      <c r="AJ207" s="4">
        <v>14993272</v>
      </c>
      <c r="AK207" s="4">
        <v>17484946</v>
      </c>
      <c r="AL207" s="4">
        <v>19976620</v>
      </c>
      <c r="AM207" s="4">
        <v>22468294</v>
      </c>
      <c r="AN207" s="4">
        <v>24959968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17480</v>
      </c>
      <c r="I208" s="3">
        <v>0</v>
      </c>
      <c r="J208" s="3">
        <v>5718594</v>
      </c>
      <c r="K208" s="3">
        <v>5701114</v>
      </c>
      <c r="L208" s="3">
        <v>5701114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4289847</v>
      </c>
      <c r="T208" s="3">
        <v>4289847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568946</v>
      </c>
      <c r="Z208" s="3">
        <v>568946</v>
      </c>
      <c r="AA208" s="4">
        <v>568947</v>
      </c>
      <c r="AB208" s="4">
        <v>568947</v>
      </c>
      <c r="AC208" s="4">
        <v>568947</v>
      </c>
      <c r="AD208" s="4">
        <v>568945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2856382</v>
      </c>
      <c r="AJ208" s="4">
        <v>3425328</v>
      </c>
      <c r="AK208" s="4">
        <v>3994275</v>
      </c>
      <c r="AL208" s="4">
        <v>4563222</v>
      </c>
      <c r="AM208" s="4">
        <v>5132169</v>
      </c>
      <c r="AN208" s="4">
        <v>5701114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11196</v>
      </c>
      <c r="I209" s="1">
        <v>0</v>
      </c>
      <c r="J209" s="3">
        <v>4042390</v>
      </c>
      <c r="K209" s="3">
        <v>4031194</v>
      </c>
      <c r="L209" s="3">
        <v>4031194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2877597</v>
      </c>
      <c r="T209" s="3">
        <v>2877597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402373</v>
      </c>
      <c r="Z209" s="3">
        <v>402373</v>
      </c>
      <c r="AA209" s="4">
        <v>402373</v>
      </c>
      <c r="AB209" s="4">
        <v>402373</v>
      </c>
      <c r="AC209" s="4">
        <v>402373</v>
      </c>
      <c r="AD209" s="4">
        <v>402373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2019329</v>
      </c>
      <c r="AJ209" s="4">
        <v>2421702</v>
      </c>
      <c r="AK209" s="4">
        <v>2824075</v>
      </c>
      <c r="AL209" s="4">
        <v>3226448</v>
      </c>
      <c r="AM209" s="4">
        <v>3628821</v>
      </c>
      <c r="AN209" s="4">
        <v>4031194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25274</v>
      </c>
      <c r="I210" s="3">
        <v>0</v>
      </c>
      <c r="J210" s="3">
        <v>9090582</v>
      </c>
      <c r="K210" s="3">
        <v>9065308</v>
      </c>
      <c r="L210" s="3">
        <v>9065308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7270424</v>
      </c>
      <c r="T210" s="3">
        <v>7270424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904846</v>
      </c>
      <c r="Z210" s="3">
        <v>904846</v>
      </c>
      <c r="AA210" s="4">
        <v>904846</v>
      </c>
      <c r="AB210" s="4">
        <v>904846</v>
      </c>
      <c r="AC210" s="4">
        <v>904846</v>
      </c>
      <c r="AD210" s="4">
        <v>904846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4541078</v>
      </c>
      <c r="AJ210" s="4">
        <v>5445924</v>
      </c>
      <c r="AK210" s="4">
        <v>6350770</v>
      </c>
      <c r="AL210" s="4">
        <v>7255616</v>
      </c>
      <c r="AM210" s="4">
        <v>8160462</v>
      </c>
      <c r="AN210" s="4">
        <v>9065308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10754</v>
      </c>
      <c r="I211" s="1">
        <v>0</v>
      </c>
      <c r="J211" s="3">
        <v>3446962</v>
      </c>
      <c r="K211" s="3">
        <v>3436208</v>
      </c>
      <c r="L211" s="3">
        <v>3436208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2389804</v>
      </c>
      <c r="T211" s="3">
        <v>2389804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342904</v>
      </c>
      <c r="Z211" s="3">
        <v>342904</v>
      </c>
      <c r="AA211" s="4">
        <v>342904</v>
      </c>
      <c r="AB211" s="4">
        <v>342904</v>
      </c>
      <c r="AC211" s="4">
        <v>342904</v>
      </c>
      <c r="AD211" s="4">
        <v>342904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1721688</v>
      </c>
      <c r="AJ211" s="4">
        <v>2064592</v>
      </c>
      <c r="AK211" s="4">
        <v>2407496</v>
      </c>
      <c r="AL211" s="4">
        <v>2750400</v>
      </c>
      <c r="AM211" s="4">
        <v>3093304</v>
      </c>
      <c r="AN211" s="4">
        <v>3436208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12735</v>
      </c>
      <c r="I212" s="1">
        <v>0</v>
      </c>
      <c r="J212" s="3">
        <v>4080809</v>
      </c>
      <c r="K212" s="3">
        <v>4068074</v>
      </c>
      <c r="L212" s="3">
        <v>4068074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3127075</v>
      </c>
      <c r="T212" s="3">
        <v>3127075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405958</v>
      </c>
      <c r="Z212" s="3">
        <v>405958</v>
      </c>
      <c r="AA212" s="4">
        <v>405959</v>
      </c>
      <c r="AB212" s="4">
        <v>405959</v>
      </c>
      <c r="AC212" s="4">
        <v>405959</v>
      </c>
      <c r="AD212" s="4">
        <v>405957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2038282</v>
      </c>
      <c r="AJ212" s="4">
        <v>2444240</v>
      </c>
      <c r="AK212" s="4">
        <v>2850199</v>
      </c>
      <c r="AL212" s="4">
        <v>3256158</v>
      </c>
      <c r="AM212" s="4">
        <v>3662117</v>
      </c>
      <c r="AN212" s="4">
        <v>4068074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5279</v>
      </c>
      <c r="I213" s="1">
        <v>0</v>
      </c>
      <c r="J213" s="3">
        <v>960071</v>
      </c>
      <c r="K213" s="3">
        <v>954792</v>
      </c>
      <c r="L213" s="3">
        <v>954792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369700</v>
      </c>
      <c r="T213" s="3">
        <v>369700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95127</v>
      </c>
      <c r="Z213" s="3">
        <v>95127</v>
      </c>
      <c r="AA213" s="4">
        <v>95128</v>
      </c>
      <c r="AB213" s="4">
        <v>95128</v>
      </c>
      <c r="AC213" s="4">
        <v>95128</v>
      </c>
      <c r="AD213" s="4">
        <v>95126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479155</v>
      </c>
      <c r="AJ213" s="4">
        <v>574282</v>
      </c>
      <c r="AK213" s="4">
        <v>669410</v>
      </c>
      <c r="AL213" s="4">
        <v>764538</v>
      </c>
      <c r="AM213" s="4">
        <v>859666</v>
      </c>
      <c r="AN213" s="4">
        <v>954792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49976</v>
      </c>
      <c r="I214" s="1">
        <v>0</v>
      </c>
      <c r="J214" s="3">
        <v>17811837</v>
      </c>
      <c r="K214" s="3">
        <v>17761861</v>
      </c>
      <c r="L214" s="3">
        <v>17761861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14416855</v>
      </c>
      <c r="T214" s="3">
        <v>14416855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1772854</v>
      </c>
      <c r="Z214" s="3">
        <v>1772854</v>
      </c>
      <c r="AA214" s="4">
        <v>1772854</v>
      </c>
      <c r="AB214" s="4">
        <v>1772854</v>
      </c>
      <c r="AC214" s="4">
        <v>1772854</v>
      </c>
      <c r="AD214" s="4">
        <v>1772855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8897590</v>
      </c>
      <c r="AJ214" s="4">
        <v>10670444</v>
      </c>
      <c r="AK214" s="4">
        <v>12443298</v>
      </c>
      <c r="AL214" s="4">
        <v>14216152</v>
      </c>
      <c r="AM214" s="4">
        <v>15989006</v>
      </c>
      <c r="AN214" s="4">
        <v>17761861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68209</v>
      </c>
      <c r="I215" s="1">
        <v>0</v>
      </c>
      <c r="J215" s="3">
        <v>21204790</v>
      </c>
      <c r="K215" s="3">
        <v>21136581</v>
      </c>
      <c r="L215" s="3">
        <v>21136581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16581442</v>
      </c>
      <c r="T215" s="3">
        <v>16581442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2109111</v>
      </c>
      <c r="Z215" s="3">
        <v>2109111</v>
      </c>
      <c r="AA215" s="4">
        <v>2109111</v>
      </c>
      <c r="AB215" s="4">
        <v>2109111</v>
      </c>
      <c r="AC215" s="4">
        <v>2109111</v>
      </c>
      <c r="AD215" s="4">
        <v>2109110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10591027</v>
      </c>
      <c r="AJ215" s="4">
        <v>12700138</v>
      </c>
      <c r="AK215" s="4">
        <v>14809249</v>
      </c>
      <c r="AL215" s="4">
        <v>16918360</v>
      </c>
      <c r="AM215" s="4">
        <v>19027471</v>
      </c>
      <c r="AN215" s="4">
        <v>21136581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10309</v>
      </c>
      <c r="I216" s="1">
        <v>0</v>
      </c>
      <c r="J216" s="3">
        <v>3414327</v>
      </c>
      <c r="K216" s="3">
        <v>3404018</v>
      </c>
      <c r="L216" s="3">
        <v>3404018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2502111</v>
      </c>
      <c r="T216" s="3">
        <v>2502111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339714</v>
      </c>
      <c r="Z216" s="3">
        <v>339714</v>
      </c>
      <c r="AA216" s="4">
        <v>339715</v>
      </c>
      <c r="AB216" s="4">
        <v>339715</v>
      </c>
      <c r="AC216" s="4">
        <v>339715</v>
      </c>
      <c r="AD216" s="4">
        <v>339713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1705446</v>
      </c>
      <c r="AJ216" s="4">
        <v>2045160</v>
      </c>
      <c r="AK216" s="4">
        <v>2384875</v>
      </c>
      <c r="AL216" s="4">
        <v>2724590</v>
      </c>
      <c r="AM216" s="4">
        <v>3064305</v>
      </c>
      <c r="AN216" s="4">
        <v>3404018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11164</v>
      </c>
      <c r="I217" s="3">
        <v>216106</v>
      </c>
      <c r="J217" s="3">
        <v>3589726</v>
      </c>
      <c r="K217" s="3">
        <v>3578562</v>
      </c>
      <c r="L217" s="3">
        <v>3362456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2622313</v>
      </c>
      <c r="T217" s="3">
        <v>2406207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357112</v>
      </c>
      <c r="Z217" s="3">
        <v>357112</v>
      </c>
      <c r="AA217" s="4">
        <v>303085</v>
      </c>
      <c r="AB217" s="4">
        <v>303085</v>
      </c>
      <c r="AC217" s="4">
        <v>303085</v>
      </c>
      <c r="AD217" s="4">
        <v>303085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1793004</v>
      </c>
      <c r="AJ217" s="4">
        <v>2150116</v>
      </c>
      <c r="AK217" s="4">
        <v>2453201</v>
      </c>
      <c r="AL217" s="4">
        <v>2756286</v>
      </c>
      <c r="AM217" s="4">
        <v>3059371</v>
      </c>
      <c r="AN217" s="4">
        <v>3362456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78764</v>
      </c>
      <c r="I218" s="3">
        <v>0</v>
      </c>
      <c r="J218" s="3">
        <v>28972636</v>
      </c>
      <c r="K218" s="3">
        <v>28893872</v>
      </c>
      <c r="L218" s="3">
        <v>28893872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23825399</v>
      </c>
      <c r="T218" s="3">
        <v>23825399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2884136</v>
      </c>
      <c r="Z218" s="3">
        <v>2884136</v>
      </c>
      <c r="AA218" s="4">
        <v>2884136</v>
      </c>
      <c r="AB218" s="4">
        <v>2884136</v>
      </c>
      <c r="AC218" s="4">
        <v>2884136</v>
      </c>
      <c r="AD218" s="4">
        <v>2884136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14473192</v>
      </c>
      <c r="AJ218" s="4">
        <v>17357328</v>
      </c>
      <c r="AK218" s="4">
        <v>20241464</v>
      </c>
      <c r="AL218" s="4">
        <v>23125600</v>
      </c>
      <c r="AM218" s="4">
        <v>26009736</v>
      </c>
      <c r="AN218" s="4">
        <v>28893872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16577</v>
      </c>
      <c r="I219" s="1">
        <v>0</v>
      </c>
      <c r="J219" s="3">
        <v>5468721</v>
      </c>
      <c r="K219" s="3">
        <v>5452144</v>
      </c>
      <c r="L219" s="3">
        <v>5452144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4205363</v>
      </c>
      <c r="T219" s="3">
        <v>4205363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544109</v>
      </c>
      <c r="Z219" s="3">
        <v>544109</v>
      </c>
      <c r="AA219" s="4">
        <v>544110</v>
      </c>
      <c r="AB219" s="4">
        <v>544110</v>
      </c>
      <c r="AC219" s="4">
        <v>544110</v>
      </c>
      <c r="AD219" s="4">
        <v>544108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2731597</v>
      </c>
      <c r="AJ219" s="4">
        <v>3275706</v>
      </c>
      <c r="AK219" s="4">
        <v>3819816</v>
      </c>
      <c r="AL219" s="4">
        <v>4363926</v>
      </c>
      <c r="AM219" s="4">
        <v>4908036</v>
      </c>
      <c r="AN219" s="4">
        <v>5452144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20682</v>
      </c>
      <c r="I220" s="1">
        <v>0</v>
      </c>
      <c r="J220" s="3">
        <v>6351152</v>
      </c>
      <c r="K220" s="3">
        <v>6330470</v>
      </c>
      <c r="L220" s="3">
        <v>6330470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4758771</v>
      </c>
      <c r="T220" s="3">
        <v>4758771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631668</v>
      </c>
      <c r="Z220" s="3">
        <v>631668</v>
      </c>
      <c r="AA220" s="4">
        <v>631669</v>
      </c>
      <c r="AB220" s="4">
        <v>631669</v>
      </c>
      <c r="AC220" s="4">
        <v>631669</v>
      </c>
      <c r="AD220" s="4">
        <v>631667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3172128</v>
      </c>
      <c r="AJ220" s="4">
        <v>3803796</v>
      </c>
      <c r="AK220" s="4">
        <v>4435465</v>
      </c>
      <c r="AL220" s="4">
        <v>5067134</v>
      </c>
      <c r="AM220" s="4">
        <v>5698803</v>
      </c>
      <c r="AN220" s="4">
        <v>6330470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28954</v>
      </c>
      <c r="I221" s="1">
        <v>0</v>
      </c>
      <c r="J221" s="3">
        <v>11803045</v>
      </c>
      <c r="K221" s="3">
        <v>11774091</v>
      </c>
      <c r="L221" s="3">
        <v>11774091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9837647</v>
      </c>
      <c r="T221" s="3">
        <v>9837647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1175479</v>
      </c>
      <c r="Z221" s="3">
        <v>1175479</v>
      </c>
      <c r="AA221" s="4">
        <v>1175478</v>
      </c>
      <c r="AB221" s="4">
        <v>1175478</v>
      </c>
      <c r="AC221" s="4">
        <v>1175478</v>
      </c>
      <c r="AD221" s="4">
        <v>1175479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5896699</v>
      </c>
      <c r="AJ221" s="4">
        <v>7072178</v>
      </c>
      <c r="AK221" s="4">
        <v>8247656</v>
      </c>
      <c r="AL221" s="4">
        <v>9423134</v>
      </c>
      <c r="AM221" s="4">
        <v>10598612</v>
      </c>
      <c r="AN221" s="4">
        <v>11774091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12564</v>
      </c>
      <c r="I222" s="1">
        <v>0</v>
      </c>
      <c r="J222" s="3">
        <v>3440906</v>
      </c>
      <c r="K222" s="3">
        <v>3428342</v>
      </c>
      <c r="L222" s="3">
        <v>3428342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2329703</v>
      </c>
      <c r="T222" s="3">
        <v>2329703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341996</v>
      </c>
      <c r="Z222" s="3">
        <v>341996</v>
      </c>
      <c r="AA222" s="4">
        <v>341997</v>
      </c>
      <c r="AB222" s="4">
        <v>341997</v>
      </c>
      <c r="AC222" s="4">
        <v>341997</v>
      </c>
      <c r="AD222" s="4">
        <v>341995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1718360</v>
      </c>
      <c r="AJ222" s="4">
        <v>2060356</v>
      </c>
      <c r="AK222" s="4">
        <v>2402353</v>
      </c>
      <c r="AL222" s="4">
        <v>2744350</v>
      </c>
      <c r="AM222" s="4">
        <v>3086347</v>
      </c>
      <c r="AN222" s="4">
        <v>3428342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23154</v>
      </c>
      <c r="I223" s="1">
        <v>0</v>
      </c>
      <c r="J223" s="3">
        <v>789875</v>
      </c>
      <c r="K223" s="3">
        <v>766721</v>
      </c>
      <c r="L223" s="3">
        <v>766721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-1091323</v>
      </c>
      <c r="T223" s="3">
        <v>-1091323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75128</v>
      </c>
      <c r="Z223" s="3">
        <v>75128</v>
      </c>
      <c r="AA223" s="4">
        <v>75128</v>
      </c>
      <c r="AB223" s="4">
        <v>75128</v>
      </c>
      <c r="AC223" s="4">
        <v>75128</v>
      </c>
      <c r="AD223" s="4">
        <v>75129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391080</v>
      </c>
      <c r="AJ223" s="4">
        <v>466208</v>
      </c>
      <c r="AK223" s="4">
        <v>541336</v>
      </c>
      <c r="AL223" s="4">
        <v>616464</v>
      </c>
      <c r="AM223" s="4">
        <v>691592</v>
      </c>
      <c r="AN223" s="4">
        <v>766721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4421</v>
      </c>
      <c r="I224" s="1">
        <v>0</v>
      </c>
      <c r="J224" s="3">
        <v>1678065</v>
      </c>
      <c r="K224" s="3">
        <v>1673644</v>
      </c>
      <c r="L224" s="3">
        <v>1673644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1210088</v>
      </c>
      <c r="T224" s="3">
        <v>1210088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167069</v>
      </c>
      <c r="Z224" s="3">
        <v>167069</v>
      </c>
      <c r="AA224" s="4">
        <v>167070</v>
      </c>
      <c r="AB224" s="4">
        <v>167070</v>
      </c>
      <c r="AC224" s="4">
        <v>167070</v>
      </c>
      <c r="AD224" s="4">
        <v>167068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838297</v>
      </c>
      <c r="AJ224" s="4">
        <v>1005366</v>
      </c>
      <c r="AK224" s="4">
        <v>1172436</v>
      </c>
      <c r="AL224" s="4">
        <v>1339506</v>
      </c>
      <c r="AM224" s="4">
        <v>1506576</v>
      </c>
      <c r="AN224" s="4">
        <v>1673644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3124</v>
      </c>
      <c r="I225" s="1">
        <v>0</v>
      </c>
      <c r="J225" s="3">
        <v>566735</v>
      </c>
      <c r="K225" s="3">
        <v>563611</v>
      </c>
      <c r="L225" s="3">
        <v>563611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143933</v>
      </c>
      <c r="T225" s="3">
        <v>143933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56153</v>
      </c>
      <c r="Z225" s="3">
        <v>56153</v>
      </c>
      <c r="AA225" s="4">
        <v>56152</v>
      </c>
      <c r="AB225" s="4">
        <v>56152</v>
      </c>
      <c r="AC225" s="4">
        <v>56152</v>
      </c>
      <c r="AD225" s="4">
        <v>56153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282849</v>
      </c>
      <c r="AJ225" s="4">
        <v>339002</v>
      </c>
      <c r="AK225" s="4">
        <v>395154</v>
      </c>
      <c r="AL225" s="4">
        <v>451306</v>
      </c>
      <c r="AM225" s="4">
        <v>507458</v>
      </c>
      <c r="AN225" s="4">
        <v>563611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20030</v>
      </c>
      <c r="I226" s="3">
        <v>0</v>
      </c>
      <c r="J226" s="3">
        <v>6685747</v>
      </c>
      <c r="K226" s="3">
        <v>6665717</v>
      </c>
      <c r="L226" s="3">
        <v>6665717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5073658</v>
      </c>
      <c r="T226" s="3">
        <v>5073658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665236</v>
      </c>
      <c r="Z226" s="3">
        <v>665236</v>
      </c>
      <c r="AA226" s="4">
        <v>665236</v>
      </c>
      <c r="AB226" s="4">
        <v>665236</v>
      </c>
      <c r="AC226" s="4">
        <v>665236</v>
      </c>
      <c r="AD226" s="4">
        <v>665237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3339536</v>
      </c>
      <c r="AJ226" s="4">
        <v>4004772</v>
      </c>
      <c r="AK226" s="4">
        <v>4670008</v>
      </c>
      <c r="AL226" s="4">
        <v>5335244</v>
      </c>
      <c r="AM226" s="4">
        <v>6000480</v>
      </c>
      <c r="AN226" s="4">
        <v>6665717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50074</v>
      </c>
      <c r="I227" s="1">
        <v>0</v>
      </c>
      <c r="J227" s="3">
        <v>18816278</v>
      </c>
      <c r="K227" s="3">
        <v>18766204</v>
      </c>
      <c r="L227" s="3">
        <v>18766204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14815971</v>
      </c>
      <c r="T227" s="3">
        <v>14815971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1873282</v>
      </c>
      <c r="Z227" s="3">
        <v>1873282</v>
      </c>
      <c r="AA227" s="4">
        <v>1873282</v>
      </c>
      <c r="AB227" s="4">
        <v>1873282</v>
      </c>
      <c r="AC227" s="4">
        <v>1873282</v>
      </c>
      <c r="AD227" s="4">
        <v>1873282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9399794</v>
      </c>
      <c r="AJ227" s="4">
        <v>11273076</v>
      </c>
      <c r="AK227" s="4">
        <v>13146358</v>
      </c>
      <c r="AL227" s="4">
        <v>15019640</v>
      </c>
      <c r="AM227" s="4">
        <v>16892922</v>
      </c>
      <c r="AN227" s="4">
        <v>18766204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116846</v>
      </c>
      <c r="I228" s="1">
        <v>0</v>
      </c>
      <c r="J228" s="3">
        <v>51153936</v>
      </c>
      <c r="K228" s="3">
        <v>51037090</v>
      </c>
      <c r="L228" s="3">
        <v>51037090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43250462</v>
      </c>
      <c r="T228" s="3">
        <v>43250462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5095919</v>
      </c>
      <c r="Z228" s="3">
        <v>5095919</v>
      </c>
      <c r="AA228" s="4">
        <v>5095919</v>
      </c>
      <c r="AB228" s="4">
        <v>5095919</v>
      </c>
      <c r="AC228" s="4">
        <v>5095919</v>
      </c>
      <c r="AD228" s="4">
        <v>5095919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25557495</v>
      </c>
      <c r="AJ228" s="4">
        <v>30653414</v>
      </c>
      <c r="AK228" s="4">
        <v>35749333</v>
      </c>
      <c r="AL228" s="4">
        <v>40845252</v>
      </c>
      <c r="AM228" s="4">
        <v>45941171</v>
      </c>
      <c r="AN228" s="4">
        <v>51037090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14673</v>
      </c>
      <c r="I229" s="3">
        <v>0</v>
      </c>
      <c r="J229" s="3">
        <v>3817044</v>
      </c>
      <c r="K229" s="3">
        <v>3802371</v>
      </c>
      <c r="L229" s="3">
        <v>3802371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2690686</v>
      </c>
      <c r="T229" s="3">
        <v>2690686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379259</v>
      </c>
      <c r="Z229" s="3">
        <v>379259</v>
      </c>
      <c r="AA229" s="4">
        <v>379259</v>
      </c>
      <c r="AB229" s="4">
        <v>379259</v>
      </c>
      <c r="AC229" s="4">
        <v>379259</v>
      </c>
      <c r="AD229" s="4">
        <v>379260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1906075</v>
      </c>
      <c r="AJ229" s="4">
        <v>2285334</v>
      </c>
      <c r="AK229" s="4">
        <v>2664593</v>
      </c>
      <c r="AL229" s="4">
        <v>3043852</v>
      </c>
      <c r="AM229" s="4">
        <v>3423111</v>
      </c>
      <c r="AN229" s="4">
        <v>3802371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4287</v>
      </c>
      <c r="I230" s="1">
        <v>0</v>
      </c>
      <c r="J230" s="3">
        <v>1255537</v>
      </c>
      <c r="K230" s="3">
        <v>1251250</v>
      </c>
      <c r="L230" s="3">
        <v>1251250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867417</v>
      </c>
      <c r="T230" s="3">
        <v>867417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124839</v>
      </c>
      <c r="Z230" s="3">
        <v>124839</v>
      </c>
      <c r="AA230" s="4">
        <v>124839</v>
      </c>
      <c r="AB230" s="4">
        <v>124839</v>
      </c>
      <c r="AC230" s="4">
        <v>124839</v>
      </c>
      <c r="AD230" s="4">
        <v>124839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627055</v>
      </c>
      <c r="AJ230" s="4">
        <v>751894</v>
      </c>
      <c r="AK230" s="4">
        <v>876733</v>
      </c>
      <c r="AL230" s="4">
        <v>1001572</v>
      </c>
      <c r="AM230" s="4">
        <v>1126411</v>
      </c>
      <c r="AN230" s="4">
        <v>1251250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13130</v>
      </c>
      <c r="I231" s="3">
        <v>0</v>
      </c>
      <c r="J231" s="3">
        <v>2231003</v>
      </c>
      <c r="K231" s="3">
        <v>2217873</v>
      </c>
      <c r="L231" s="3">
        <v>2217873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1059337</v>
      </c>
      <c r="T231" s="3">
        <v>1059337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220912</v>
      </c>
      <c r="Z231" s="3">
        <v>220912</v>
      </c>
      <c r="AA231" s="4">
        <v>220912</v>
      </c>
      <c r="AB231" s="4">
        <v>220912</v>
      </c>
      <c r="AC231" s="4">
        <v>220912</v>
      </c>
      <c r="AD231" s="4">
        <v>220913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1113312</v>
      </c>
      <c r="AJ231" s="4">
        <v>1334224</v>
      </c>
      <c r="AK231" s="4">
        <v>1555136</v>
      </c>
      <c r="AL231" s="4">
        <v>1776048</v>
      </c>
      <c r="AM231" s="4">
        <v>1996960</v>
      </c>
      <c r="AN231" s="4">
        <v>2217873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12021</v>
      </c>
      <c r="I232" s="1">
        <v>0</v>
      </c>
      <c r="J232" s="3">
        <v>3616764</v>
      </c>
      <c r="K232" s="3">
        <v>3604743</v>
      </c>
      <c r="L232" s="3">
        <v>3604743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2607895</v>
      </c>
      <c r="T232" s="3">
        <v>2607895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359673</v>
      </c>
      <c r="Z232" s="3">
        <v>359673</v>
      </c>
      <c r="AA232" s="4">
        <v>359673</v>
      </c>
      <c r="AB232" s="4">
        <v>359673</v>
      </c>
      <c r="AC232" s="4">
        <v>359673</v>
      </c>
      <c r="AD232" s="4">
        <v>359674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1806377</v>
      </c>
      <c r="AJ232" s="4">
        <v>2166050</v>
      </c>
      <c r="AK232" s="4">
        <v>2525723</v>
      </c>
      <c r="AL232" s="4">
        <v>2885396</v>
      </c>
      <c r="AM232" s="4">
        <v>3245069</v>
      </c>
      <c r="AN232" s="4">
        <v>3604743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48699</v>
      </c>
      <c r="I233" s="1">
        <v>0</v>
      </c>
      <c r="J233" s="3">
        <v>16190926</v>
      </c>
      <c r="K233" s="3">
        <v>16142227</v>
      </c>
      <c r="L233" s="3">
        <v>16142227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12135642</v>
      </c>
      <c r="T233" s="3">
        <v>12135642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1610976</v>
      </c>
      <c r="Z233" s="3">
        <v>1610976</v>
      </c>
      <c r="AA233" s="4">
        <v>1610976</v>
      </c>
      <c r="AB233" s="4">
        <v>1610976</v>
      </c>
      <c r="AC233" s="4">
        <v>1610976</v>
      </c>
      <c r="AD233" s="4">
        <v>1610975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8087348</v>
      </c>
      <c r="AJ233" s="4">
        <v>9698324</v>
      </c>
      <c r="AK233" s="4">
        <v>11309300</v>
      </c>
      <c r="AL233" s="4">
        <v>12920276</v>
      </c>
      <c r="AM233" s="4">
        <v>14531252</v>
      </c>
      <c r="AN233" s="4">
        <v>16142227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41259</v>
      </c>
      <c r="I234" s="1">
        <v>0</v>
      </c>
      <c r="J234" s="3">
        <v>17480009</v>
      </c>
      <c r="K234" s="3">
        <v>17438750</v>
      </c>
      <c r="L234" s="3">
        <v>17438750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14498853</v>
      </c>
      <c r="T234" s="3">
        <v>14498853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1741124</v>
      </c>
      <c r="Z234" s="3">
        <v>1741124</v>
      </c>
      <c r="AA234" s="4">
        <v>1741125</v>
      </c>
      <c r="AB234" s="4">
        <v>1741125</v>
      </c>
      <c r="AC234" s="4">
        <v>1741125</v>
      </c>
      <c r="AD234" s="4">
        <v>1741123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8733128</v>
      </c>
      <c r="AJ234" s="4">
        <v>10474252</v>
      </c>
      <c r="AK234" s="4">
        <v>12215377</v>
      </c>
      <c r="AL234" s="4">
        <v>13956502</v>
      </c>
      <c r="AM234" s="4">
        <v>15697627</v>
      </c>
      <c r="AN234" s="4">
        <v>17438750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125356</v>
      </c>
      <c r="I235" s="1">
        <v>0</v>
      </c>
      <c r="J235" s="3">
        <v>41228460</v>
      </c>
      <c r="K235" s="3">
        <v>41103104</v>
      </c>
      <c r="L235" s="3">
        <v>41103104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33293515</v>
      </c>
      <c r="T235" s="3">
        <v>33293515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4101953</v>
      </c>
      <c r="Z235" s="3">
        <v>4101953</v>
      </c>
      <c r="AA235" s="4">
        <v>4101954</v>
      </c>
      <c r="AB235" s="4">
        <v>4101954</v>
      </c>
      <c r="AC235" s="4">
        <v>4101954</v>
      </c>
      <c r="AD235" s="4">
        <v>4101952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20593337</v>
      </c>
      <c r="AJ235" s="4">
        <v>24695290</v>
      </c>
      <c r="AK235" s="4">
        <v>28797244</v>
      </c>
      <c r="AL235" s="4">
        <v>32899198</v>
      </c>
      <c r="AM235" s="4">
        <v>37001152</v>
      </c>
      <c r="AN235" s="4">
        <v>41103104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15959</v>
      </c>
      <c r="I236" s="1">
        <v>0</v>
      </c>
      <c r="J236" s="3">
        <v>6286824</v>
      </c>
      <c r="K236" s="3">
        <v>6270865</v>
      </c>
      <c r="L236" s="3">
        <v>6270865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5005732</v>
      </c>
      <c r="T236" s="3">
        <v>5005732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626023</v>
      </c>
      <c r="Z236" s="3">
        <v>626023</v>
      </c>
      <c r="AA236" s="4">
        <v>626023</v>
      </c>
      <c r="AB236" s="4">
        <v>626023</v>
      </c>
      <c r="AC236" s="4">
        <v>626023</v>
      </c>
      <c r="AD236" s="4">
        <v>626022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3140751</v>
      </c>
      <c r="AJ236" s="4">
        <v>3766774</v>
      </c>
      <c r="AK236" s="4">
        <v>4392797</v>
      </c>
      <c r="AL236" s="4">
        <v>5018820</v>
      </c>
      <c r="AM236" s="4">
        <v>5644843</v>
      </c>
      <c r="AN236" s="4">
        <v>6270865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15045</v>
      </c>
      <c r="I237" s="3">
        <v>0</v>
      </c>
      <c r="J237" s="3">
        <v>2969320</v>
      </c>
      <c r="K237" s="3">
        <v>2954275</v>
      </c>
      <c r="L237" s="3">
        <v>2954275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1739062</v>
      </c>
      <c r="T237" s="3">
        <v>1739062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294425</v>
      </c>
      <c r="Z237" s="3">
        <v>294425</v>
      </c>
      <c r="AA237" s="4">
        <v>294424</v>
      </c>
      <c r="AB237" s="4">
        <v>294424</v>
      </c>
      <c r="AC237" s="4">
        <v>294424</v>
      </c>
      <c r="AD237" s="4">
        <v>294425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1482153</v>
      </c>
      <c r="AJ237" s="4">
        <v>1776578</v>
      </c>
      <c r="AK237" s="4">
        <v>2071002</v>
      </c>
      <c r="AL237" s="4">
        <v>2365426</v>
      </c>
      <c r="AM237" s="4">
        <v>2659850</v>
      </c>
      <c r="AN237" s="4">
        <v>2954275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16840</v>
      </c>
      <c r="I238" s="1">
        <v>0</v>
      </c>
      <c r="J238" s="3">
        <v>7215044</v>
      </c>
      <c r="K238" s="3">
        <v>7198204</v>
      </c>
      <c r="L238" s="3">
        <v>7198204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5912464</v>
      </c>
      <c r="T238" s="3">
        <v>5912464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718698</v>
      </c>
      <c r="Z238" s="3">
        <v>718698</v>
      </c>
      <c r="AA238" s="4">
        <v>718698</v>
      </c>
      <c r="AB238" s="4">
        <v>718698</v>
      </c>
      <c r="AC238" s="4">
        <v>718698</v>
      </c>
      <c r="AD238" s="4">
        <v>718698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3604714</v>
      </c>
      <c r="AJ238" s="4">
        <v>4323412</v>
      </c>
      <c r="AK238" s="4">
        <v>5042110</v>
      </c>
      <c r="AL238" s="4">
        <v>5760808</v>
      </c>
      <c r="AM238" s="4">
        <v>6479506</v>
      </c>
      <c r="AN238" s="4">
        <v>7198204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22577</v>
      </c>
      <c r="I239" s="1">
        <v>0</v>
      </c>
      <c r="J239" s="3">
        <v>7926374</v>
      </c>
      <c r="K239" s="3">
        <v>7903797</v>
      </c>
      <c r="L239" s="3">
        <v>7903797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6173049</v>
      </c>
      <c r="T239" s="3">
        <v>6173049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788875</v>
      </c>
      <c r="Z239" s="3">
        <v>788875</v>
      </c>
      <c r="AA239" s="4">
        <v>788875</v>
      </c>
      <c r="AB239" s="4">
        <v>788875</v>
      </c>
      <c r="AC239" s="4">
        <v>788875</v>
      </c>
      <c r="AD239" s="4">
        <v>788874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3959423</v>
      </c>
      <c r="AJ239" s="4">
        <v>4748298</v>
      </c>
      <c r="AK239" s="4">
        <v>5537173</v>
      </c>
      <c r="AL239" s="4">
        <v>6326048</v>
      </c>
      <c r="AM239" s="4">
        <v>7114923</v>
      </c>
      <c r="AN239" s="4">
        <v>7903797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22184</v>
      </c>
      <c r="I240" s="3">
        <v>0</v>
      </c>
      <c r="J240" s="3">
        <v>7708421</v>
      </c>
      <c r="K240" s="3">
        <v>7686237</v>
      </c>
      <c r="L240" s="3">
        <v>7686237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5904088</v>
      </c>
      <c r="T240" s="3">
        <v>5904088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767145</v>
      </c>
      <c r="Z240" s="3">
        <v>767145</v>
      </c>
      <c r="AA240" s="4">
        <v>767145</v>
      </c>
      <c r="AB240" s="4">
        <v>767145</v>
      </c>
      <c r="AC240" s="4">
        <v>767145</v>
      </c>
      <c r="AD240" s="4">
        <v>767144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3850513</v>
      </c>
      <c r="AJ240" s="4">
        <v>4617658</v>
      </c>
      <c r="AK240" s="4">
        <v>5384803</v>
      </c>
      <c r="AL240" s="4">
        <v>6151948</v>
      </c>
      <c r="AM240" s="4">
        <v>6919093</v>
      </c>
      <c r="AN240" s="4">
        <v>7686237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7550</v>
      </c>
      <c r="I241" s="1">
        <v>0</v>
      </c>
      <c r="J241" s="3">
        <v>2075057</v>
      </c>
      <c r="K241" s="3">
        <v>2067507</v>
      </c>
      <c r="L241" s="3">
        <v>2067507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1155223</v>
      </c>
      <c r="T241" s="3">
        <v>1155223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206247</v>
      </c>
      <c r="Z241" s="3">
        <v>206247</v>
      </c>
      <c r="AA241" s="4">
        <v>206247</v>
      </c>
      <c r="AB241" s="4">
        <v>206247</v>
      </c>
      <c r="AC241" s="4">
        <v>206247</v>
      </c>
      <c r="AD241" s="4">
        <v>206248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1036271</v>
      </c>
      <c r="AJ241" s="4">
        <v>1242518</v>
      </c>
      <c r="AK241" s="4">
        <v>1448765</v>
      </c>
      <c r="AL241" s="4">
        <v>1655012</v>
      </c>
      <c r="AM241" s="4">
        <v>1861259</v>
      </c>
      <c r="AN241" s="4">
        <v>2067507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8074</v>
      </c>
      <c r="I242" s="3">
        <v>0</v>
      </c>
      <c r="J242" s="3">
        <v>2389192</v>
      </c>
      <c r="K242" s="3">
        <v>2381118</v>
      </c>
      <c r="L242" s="3">
        <v>2381118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1443467</v>
      </c>
      <c r="T242" s="3">
        <v>1443467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237574</v>
      </c>
      <c r="Z242" s="3">
        <v>237574</v>
      </c>
      <c r="AA242" s="4">
        <v>237574</v>
      </c>
      <c r="AB242" s="4">
        <v>237574</v>
      </c>
      <c r="AC242" s="4">
        <v>237574</v>
      </c>
      <c r="AD242" s="4">
        <v>237572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1193250</v>
      </c>
      <c r="AJ242" s="4">
        <v>1430824</v>
      </c>
      <c r="AK242" s="4">
        <v>1668398</v>
      </c>
      <c r="AL242" s="4">
        <v>1905972</v>
      </c>
      <c r="AM242" s="4">
        <v>2143546</v>
      </c>
      <c r="AN242" s="4">
        <v>2381118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17984</v>
      </c>
      <c r="I243" s="1">
        <v>0</v>
      </c>
      <c r="J243" s="3">
        <v>6584450</v>
      </c>
      <c r="K243" s="3">
        <v>6566466</v>
      </c>
      <c r="L243" s="3">
        <v>6566466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4633424</v>
      </c>
      <c r="T243" s="3">
        <v>4633424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655448</v>
      </c>
      <c r="Z243" s="3">
        <v>655448</v>
      </c>
      <c r="AA243" s="4">
        <v>655448</v>
      </c>
      <c r="AB243" s="4">
        <v>655448</v>
      </c>
      <c r="AC243" s="4">
        <v>655448</v>
      </c>
      <c r="AD243" s="4">
        <v>655446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3289228</v>
      </c>
      <c r="AJ243" s="4">
        <v>3944676</v>
      </c>
      <c r="AK243" s="4">
        <v>4600124</v>
      </c>
      <c r="AL243" s="4">
        <v>5255572</v>
      </c>
      <c r="AM243" s="4">
        <v>5911020</v>
      </c>
      <c r="AN243" s="4">
        <v>6566466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22976</v>
      </c>
      <c r="I244" s="1">
        <v>0</v>
      </c>
      <c r="J244" s="3">
        <v>7934971</v>
      </c>
      <c r="K244" s="3">
        <v>7911995</v>
      </c>
      <c r="L244" s="3">
        <v>7911995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6314003</v>
      </c>
      <c r="T244" s="3">
        <v>6314003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789668</v>
      </c>
      <c r="Z244" s="3">
        <v>789668</v>
      </c>
      <c r="AA244" s="4">
        <v>789668</v>
      </c>
      <c r="AB244" s="4">
        <v>789668</v>
      </c>
      <c r="AC244" s="4">
        <v>789668</v>
      </c>
      <c r="AD244" s="4">
        <v>789667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3963656</v>
      </c>
      <c r="AJ244" s="4">
        <v>4753324</v>
      </c>
      <c r="AK244" s="4">
        <v>5542992</v>
      </c>
      <c r="AL244" s="4">
        <v>6332660</v>
      </c>
      <c r="AM244" s="4">
        <v>7122328</v>
      </c>
      <c r="AN244" s="4">
        <v>7911995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9189</v>
      </c>
      <c r="I245" s="1">
        <v>0</v>
      </c>
      <c r="J245" s="3">
        <v>3189401</v>
      </c>
      <c r="K245" s="3">
        <v>3180212</v>
      </c>
      <c r="L245" s="3">
        <v>3180212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2300342</v>
      </c>
      <c r="T245" s="3">
        <v>2300342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317409</v>
      </c>
      <c r="Z245" s="3">
        <v>317409</v>
      </c>
      <c r="AA245" s="4">
        <v>317409</v>
      </c>
      <c r="AB245" s="4">
        <v>317409</v>
      </c>
      <c r="AC245" s="4">
        <v>317409</v>
      </c>
      <c r="AD245" s="4">
        <v>317407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1593169</v>
      </c>
      <c r="AJ245" s="4">
        <v>1910578</v>
      </c>
      <c r="AK245" s="4">
        <v>2227987</v>
      </c>
      <c r="AL245" s="4">
        <v>2545396</v>
      </c>
      <c r="AM245" s="4">
        <v>2862805</v>
      </c>
      <c r="AN245" s="4">
        <v>3180212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4218</v>
      </c>
      <c r="I246" s="3">
        <v>0</v>
      </c>
      <c r="J246" s="3">
        <v>1457422</v>
      </c>
      <c r="K246" s="3">
        <v>1453204</v>
      </c>
      <c r="L246" s="3">
        <v>1453204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1015723</v>
      </c>
      <c r="T246" s="3">
        <v>1015723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145039</v>
      </c>
      <c r="Z246" s="3">
        <v>145039</v>
      </c>
      <c r="AA246" s="4">
        <v>145040</v>
      </c>
      <c r="AB246" s="4">
        <v>145040</v>
      </c>
      <c r="AC246" s="4">
        <v>145040</v>
      </c>
      <c r="AD246" s="4">
        <v>145038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728007</v>
      </c>
      <c r="AJ246" s="4">
        <v>873046</v>
      </c>
      <c r="AK246" s="4">
        <v>1018086</v>
      </c>
      <c r="AL246" s="4">
        <v>1163126</v>
      </c>
      <c r="AM246" s="4">
        <v>1308166</v>
      </c>
      <c r="AN246" s="4">
        <v>1453204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13962</v>
      </c>
      <c r="I247" s="1">
        <v>0</v>
      </c>
      <c r="J247" s="3">
        <v>4036371</v>
      </c>
      <c r="K247" s="3">
        <v>4022409</v>
      </c>
      <c r="L247" s="3">
        <v>4022409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2998849</v>
      </c>
      <c r="T247" s="3">
        <v>2998849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401310</v>
      </c>
      <c r="Z247" s="3">
        <v>401310</v>
      </c>
      <c r="AA247" s="4">
        <v>401310</v>
      </c>
      <c r="AB247" s="4">
        <v>401310</v>
      </c>
      <c r="AC247" s="4">
        <v>401310</v>
      </c>
      <c r="AD247" s="4">
        <v>401311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2015858</v>
      </c>
      <c r="AJ247" s="4">
        <v>2417168</v>
      </c>
      <c r="AK247" s="4">
        <v>2818478</v>
      </c>
      <c r="AL247" s="4">
        <v>3219788</v>
      </c>
      <c r="AM247" s="4">
        <v>3621098</v>
      </c>
      <c r="AN247" s="4">
        <v>4022409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23176</v>
      </c>
      <c r="I248" s="3">
        <v>0</v>
      </c>
      <c r="J248" s="3">
        <v>1968215</v>
      </c>
      <c r="K248" s="3">
        <v>1945039</v>
      </c>
      <c r="L248" s="3">
        <v>1945039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191825</v>
      </c>
      <c r="T248" s="3">
        <v>191825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192959</v>
      </c>
      <c r="Z248" s="3">
        <v>192959</v>
      </c>
      <c r="AA248" s="4">
        <v>192958</v>
      </c>
      <c r="AB248" s="4">
        <v>192958</v>
      </c>
      <c r="AC248" s="4">
        <v>192958</v>
      </c>
      <c r="AD248" s="4">
        <v>192959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980247</v>
      </c>
      <c r="AJ248" s="4">
        <v>1173206</v>
      </c>
      <c r="AK248" s="4">
        <v>1366164</v>
      </c>
      <c r="AL248" s="4">
        <v>1559122</v>
      </c>
      <c r="AM248" s="4">
        <v>1752080</v>
      </c>
      <c r="AN248" s="4">
        <v>1945039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8004</v>
      </c>
      <c r="I249" s="1">
        <v>0</v>
      </c>
      <c r="J249" s="3">
        <v>2377693</v>
      </c>
      <c r="K249" s="3">
        <v>2369689</v>
      </c>
      <c r="L249" s="3">
        <v>2369689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1686593</v>
      </c>
      <c r="T249" s="3">
        <v>1686593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236436</v>
      </c>
      <c r="Z249" s="3">
        <v>236436</v>
      </c>
      <c r="AA249" s="4">
        <v>236435</v>
      </c>
      <c r="AB249" s="4">
        <v>236435</v>
      </c>
      <c r="AC249" s="4">
        <v>236435</v>
      </c>
      <c r="AD249" s="4">
        <v>236436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1187512</v>
      </c>
      <c r="AJ249" s="4">
        <v>1423948</v>
      </c>
      <c r="AK249" s="4">
        <v>1660383</v>
      </c>
      <c r="AL249" s="4">
        <v>1896818</v>
      </c>
      <c r="AM249" s="4">
        <v>2133253</v>
      </c>
      <c r="AN249" s="4">
        <v>2369689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5270</v>
      </c>
      <c r="I250" s="1">
        <v>0</v>
      </c>
      <c r="J250" s="3">
        <v>1434576</v>
      </c>
      <c r="K250" s="3">
        <v>1429306</v>
      </c>
      <c r="L250" s="3">
        <v>1429306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960066</v>
      </c>
      <c r="T250" s="3">
        <v>960066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142579</v>
      </c>
      <c r="Z250" s="3">
        <v>142579</v>
      </c>
      <c r="AA250" s="4">
        <v>142579</v>
      </c>
      <c r="AB250" s="4">
        <v>142579</v>
      </c>
      <c r="AC250" s="4">
        <v>142579</v>
      </c>
      <c r="AD250" s="4">
        <v>142579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716411</v>
      </c>
      <c r="AJ250" s="4">
        <v>858990</v>
      </c>
      <c r="AK250" s="4">
        <v>1001569</v>
      </c>
      <c r="AL250" s="4">
        <v>1144148</v>
      </c>
      <c r="AM250" s="4">
        <v>1286727</v>
      </c>
      <c r="AN250" s="4">
        <v>1429306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32382</v>
      </c>
      <c r="I251" s="1">
        <v>0</v>
      </c>
      <c r="J251" s="3">
        <v>9011015</v>
      </c>
      <c r="K251" s="3">
        <v>8978633</v>
      </c>
      <c r="L251" s="3">
        <v>8978633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6797913</v>
      </c>
      <c r="T251" s="3">
        <v>6797913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895704</v>
      </c>
      <c r="Z251" s="3">
        <v>895704</v>
      </c>
      <c r="AA251" s="4">
        <v>895704</v>
      </c>
      <c r="AB251" s="4">
        <v>895704</v>
      </c>
      <c r="AC251" s="4">
        <v>895704</v>
      </c>
      <c r="AD251" s="4">
        <v>895705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4500112</v>
      </c>
      <c r="AJ251" s="4">
        <v>5395816</v>
      </c>
      <c r="AK251" s="4">
        <v>6291520</v>
      </c>
      <c r="AL251" s="4">
        <v>7187224</v>
      </c>
      <c r="AM251" s="4">
        <v>8082928</v>
      </c>
      <c r="AN251" s="4">
        <v>8978633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5062</v>
      </c>
      <c r="I252" s="3">
        <v>0</v>
      </c>
      <c r="J252" s="3">
        <v>1901502</v>
      </c>
      <c r="K252" s="3">
        <v>1896440</v>
      </c>
      <c r="L252" s="3">
        <v>1896440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1234731</v>
      </c>
      <c r="T252" s="3">
        <v>1234731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189307</v>
      </c>
      <c r="Z252" s="3">
        <v>189307</v>
      </c>
      <c r="AA252" s="4">
        <v>189307</v>
      </c>
      <c r="AB252" s="4">
        <v>189307</v>
      </c>
      <c r="AC252" s="4">
        <v>189307</v>
      </c>
      <c r="AD252" s="4">
        <v>189305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949907</v>
      </c>
      <c r="AJ252" s="4">
        <v>1139214</v>
      </c>
      <c r="AK252" s="4">
        <v>1328521</v>
      </c>
      <c r="AL252" s="4">
        <v>1517828</v>
      </c>
      <c r="AM252" s="4">
        <v>1707135</v>
      </c>
      <c r="AN252" s="4">
        <v>1896440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17070</v>
      </c>
      <c r="I253" s="1">
        <v>0</v>
      </c>
      <c r="J253" s="3">
        <v>5236256</v>
      </c>
      <c r="K253" s="3">
        <v>5219186</v>
      </c>
      <c r="L253" s="3">
        <v>5219186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3846763</v>
      </c>
      <c r="T253" s="3">
        <v>3846763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520780</v>
      </c>
      <c r="Z253" s="3">
        <v>520780</v>
      </c>
      <c r="AA253" s="4">
        <v>520781</v>
      </c>
      <c r="AB253" s="4">
        <v>520781</v>
      </c>
      <c r="AC253" s="4">
        <v>520781</v>
      </c>
      <c r="AD253" s="4">
        <v>520779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2615284</v>
      </c>
      <c r="AJ253" s="4">
        <v>3136064</v>
      </c>
      <c r="AK253" s="4">
        <v>3656845</v>
      </c>
      <c r="AL253" s="4">
        <v>4177626</v>
      </c>
      <c r="AM253" s="4">
        <v>4698407</v>
      </c>
      <c r="AN253" s="4">
        <v>5219186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26024</v>
      </c>
      <c r="I254" s="1">
        <v>0</v>
      </c>
      <c r="J254" s="3">
        <v>9801176</v>
      </c>
      <c r="K254" s="3">
        <v>9775152</v>
      </c>
      <c r="L254" s="3">
        <v>9775152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7631680</v>
      </c>
      <c r="T254" s="3">
        <v>7631680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975780</v>
      </c>
      <c r="Z254" s="3">
        <v>975780</v>
      </c>
      <c r="AA254" s="4">
        <v>975780</v>
      </c>
      <c r="AB254" s="4">
        <v>975780</v>
      </c>
      <c r="AC254" s="4">
        <v>975780</v>
      </c>
      <c r="AD254" s="4">
        <v>975780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4896252</v>
      </c>
      <c r="AJ254" s="4">
        <v>5872032</v>
      </c>
      <c r="AK254" s="4">
        <v>6847812</v>
      </c>
      <c r="AL254" s="4">
        <v>7823592</v>
      </c>
      <c r="AM254" s="4">
        <v>8799372</v>
      </c>
      <c r="AN254" s="4">
        <v>9775152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24173</v>
      </c>
      <c r="I255" s="1">
        <v>0</v>
      </c>
      <c r="J255" s="3">
        <v>8494037</v>
      </c>
      <c r="K255" s="3">
        <v>8469864</v>
      </c>
      <c r="L255" s="3">
        <v>8469864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6640124</v>
      </c>
      <c r="T255" s="3">
        <v>6640124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845375</v>
      </c>
      <c r="Z255" s="3">
        <v>845375</v>
      </c>
      <c r="AA255" s="4">
        <v>845375</v>
      </c>
      <c r="AB255" s="4">
        <v>845375</v>
      </c>
      <c r="AC255" s="4">
        <v>845375</v>
      </c>
      <c r="AD255" s="4">
        <v>845373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4242991</v>
      </c>
      <c r="AJ255" s="4">
        <v>5088366</v>
      </c>
      <c r="AK255" s="4">
        <v>5933741</v>
      </c>
      <c r="AL255" s="4">
        <v>6779116</v>
      </c>
      <c r="AM255" s="4">
        <v>7624491</v>
      </c>
      <c r="AN255" s="4">
        <v>8469864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15262</v>
      </c>
      <c r="I256" s="1">
        <v>0</v>
      </c>
      <c r="J256" s="3">
        <v>5210602</v>
      </c>
      <c r="K256" s="3">
        <v>5195340</v>
      </c>
      <c r="L256" s="3">
        <v>5195340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3854469</v>
      </c>
      <c r="T256" s="3">
        <v>3854469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518517</v>
      </c>
      <c r="Z256" s="3">
        <v>518517</v>
      </c>
      <c r="AA256" s="4">
        <v>518517</v>
      </c>
      <c r="AB256" s="4">
        <v>518517</v>
      </c>
      <c r="AC256" s="4">
        <v>518517</v>
      </c>
      <c r="AD256" s="4">
        <v>518515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2602757</v>
      </c>
      <c r="AJ256" s="4">
        <v>3121274</v>
      </c>
      <c r="AK256" s="4">
        <v>3639791</v>
      </c>
      <c r="AL256" s="4">
        <v>4158308</v>
      </c>
      <c r="AM256" s="4">
        <v>4676825</v>
      </c>
      <c r="AN256" s="4">
        <v>5195340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8373</v>
      </c>
      <c r="I257" s="1">
        <v>0</v>
      </c>
      <c r="J257" s="3">
        <v>2783575</v>
      </c>
      <c r="K257" s="3">
        <v>2775202</v>
      </c>
      <c r="L257" s="3">
        <v>2775202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2013361</v>
      </c>
      <c r="T257" s="3">
        <v>2013361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276962</v>
      </c>
      <c r="Z257" s="3">
        <v>276962</v>
      </c>
      <c r="AA257" s="4">
        <v>276962</v>
      </c>
      <c r="AB257" s="4">
        <v>276962</v>
      </c>
      <c r="AC257" s="4">
        <v>276962</v>
      </c>
      <c r="AD257" s="4">
        <v>276960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1390394</v>
      </c>
      <c r="AJ257" s="4">
        <v>1667356</v>
      </c>
      <c r="AK257" s="4">
        <v>1944318</v>
      </c>
      <c r="AL257" s="4">
        <v>2221280</v>
      </c>
      <c r="AM257" s="4">
        <v>2498242</v>
      </c>
      <c r="AN257" s="4">
        <v>2775202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12747</v>
      </c>
      <c r="I258" s="1">
        <v>0</v>
      </c>
      <c r="J258" s="3">
        <v>4626575</v>
      </c>
      <c r="K258" s="3">
        <v>4613828</v>
      </c>
      <c r="L258" s="3">
        <v>4613828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3622974</v>
      </c>
      <c r="T258" s="3">
        <v>3622974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460533</v>
      </c>
      <c r="Z258" s="3">
        <v>460533</v>
      </c>
      <c r="AA258" s="4">
        <v>460533</v>
      </c>
      <c r="AB258" s="4">
        <v>460533</v>
      </c>
      <c r="AC258" s="4">
        <v>460533</v>
      </c>
      <c r="AD258" s="4">
        <v>460531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2311165</v>
      </c>
      <c r="AJ258" s="4">
        <v>2771698</v>
      </c>
      <c r="AK258" s="4">
        <v>3232231</v>
      </c>
      <c r="AL258" s="4">
        <v>3692764</v>
      </c>
      <c r="AM258" s="4">
        <v>4153297</v>
      </c>
      <c r="AN258" s="4">
        <v>4613828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35070</v>
      </c>
      <c r="I259" s="1">
        <v>0</v>
      </c>
      <c r="J259" s="3">
        <v>14093348</v>
      </c>
      <c r="K259" s="3">
        <v>14058278</v>
      </c>
      <c r="L259" s="3">
        <v>14058278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10680131</v>
      </c>
      <c r="T259" s="3">
        <v>10680131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1403490</v>
      </c>
      <c r="Z259" s="3">
        <v>1403490</v>
      </c>
      <c r="AA259" s="4">
        <v>1403490</v>
      </c>
      <c r="AB259" s="4">
        <v>1403490</v>
      </c>
      <c r="AC259" s="4">
        <v>1403490</v>
      </c>
      <c r="AD259" s="4">
        <v>1403488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7040830</v>
      </c>
      <c r="AJ259" s="4">
        <v>8444320</v>
      </c>
      <c r="AK259" s="4">
        <v>9847810</v>
      </c>
      <c r="AL259" s="4">
        <v>11251300</v>
      </c>
      <c r="AM259" s="4">
        <v>12654790</v>
      </c>
      <c r="AN259" s="4">
        <v>14058278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330227</v>
      </c>
      <c r="I260" s="3">
        <v>0</v>
      </c>
      <c r="J260" s="3">
        <v>144199256</v>
      </c>
      <c r="K260" s="3">
        <v>143869029</v>
      </c>
      <c r="L260" s="3">
        <v>143869029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120922134</v>
      </c>
      <c r="T260" s="3">
        <v>120922134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14364888</v>
      </c>
      <c r="Z260" s="3">
        <v>14364888</v>
      </c>
      <c r="AA260" s="4">
        <v>14364887</v>
      </c>
      <c r="AB260" s="4">
        <v>14364887</v>
      </c>
      <c r="AC260" s="4">
        <v>14364887</v>
      </c>
      <c r="AD260" s="4">
        <v>14364888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72044592</v>
      </c>
      <c r="AJ260" s="4">
        <v>86409480</v>
      </c>
      <c r="AK260" s="4">
        <v>100774367</v>
      </c>
      <c r="AL260" s="4">
        <v>115139254</v>
      </c>
      <c r="AM260" s="4">
        <v>129504141</v>
      </c>
      <c r="AN260" s="4">
        <v>143869029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9634</v>
      </c>
      <c r="I261" s="1">
        <v>0</v>
      </c>
      <c r="J261" s="3">
        <v>2997499</v>
      </c>
      <c r="K261" s="3">
        <v>2987865</v>
      </c>
      <c r="L261" s="3">
        <v>2987865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2110811</v>
      </c>
      <c r="T261" s="3">
        <v>2110811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298144</v>
      </c>
      <c r="Z261" s="3">
        <v>298144</v>
      </c>
      <c r="AA261" s="4">
        <v>298144</v>
      </c>
      <c r="AB261" s="4">
        <v>298144</v>
      </c>
      <c r="AC261" s="4">
        <v>298144</v>
      </c>
      <c r="AD261" s="4">
        <v>298145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1497144</v>
      </c>
      <c r="AJ261" s="4">
        <v>1795288</v>
      </c>
      <c r="AK261" s="4">
        <v>2093432</v>
      </c>
      <c r="AL261" s="4">
        <v>2391576</v>
      </c>
      <c r="AM261" s="4">
        <v>2689720</v>
      </c>
      <c r="AN261" s="4">
        <v>2987865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20255</v>
      </c>
      <c r="I262" s="1">
        <v>0</v>
      </c>
      <c r="J262" s="3">
        <v>5708196</v>
      </c>
      <c r="K262" s="3">
        <v>5687941</v>
      </c>
      <c r="L262" s="3">
        <v>5687941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4095196</v>
      </c>
      <c r="T262" s="3">
        <v>4095196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567444</v>
      </c>
      <c r="Z262" s="3">
        <v>567444</v>
      </c>
      <c r="AA262" s="4">
        <v>567443</v>
      </c>
      <c r="AB262" s="4">
        <v>567443</v>
      </c>
      <c r="AC262" s="4">
        <v>567443</v>
      </c>
      <c r="AD262" s="4">
        <v>567444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2850724</v>
      </c>
      <c r="AJ262" s="4">
        <v>3418168</v>
      </c>
      <c r="AK262" s="4">
        <v>3985611</v>
      </c>
      <c r="AL262" s="4">
        <v>4553054</v>
      </c>
      <c r="AM262" s="4">
        <v>5120497</v>
      </c>
      <c r="AN262" s="4">
        <v>5687941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32555</v>
      </c>
      <c r="I263" s="3">
        <v>0</v>
      </c>
      <c r="J263" s="3">
        <v>10391860</v>
      </c>
      <c r="K263" s="3">
        <v>10359305</v>
      </c>
      <c r="L263" s="3">
        <v>10359305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8166501</v>
      </c>
      <c r="T263" s="3">
        <v>8166501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1033760</v>
      </c>
      <c r="Z263" s="3">
        <v>1033760</v>
      </c>
      <c r="AA263" s="4">
        <v>1033760</v>
      </c>
      <c r="AB263" s="4">
        <v>1033760</v>
      </c>
      <c r="AC263" s="4">
        <v>1033760</v>
      </c>
      <c r="AD263" s="4">
        <v>1033761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5190504</v>
      </c>
      <c r="AJ263" s="4">
        <v>6224264</v>
      </c>
      <c r="AK263" s="4">
        <v>7258024</v>
      </c>
      <c r="AL263" s="4">
        <v>8291784</v>
      </c>
      <c r="AM263" s="4">
        <v>9325544</v>
      </c>
      <c r="AN263" s="4">
        <v>10359305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11148</v>
      </c>
      <c r="I264" s="1">
        <v>0</v>
      </c>
      <c r="J264" s="3">
        <v>4077003</v>
      </c>
      <c r="K264" s="3">
        <v>4065855</v>
      </c>
      <c r="L264" s="3">
        <v>4065855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3175149</v>
      </c>
      <c r="T264" s="3">
        <v>3175149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405843</v>
      </c>
      <c r="Z264" s="3">
        <v>405843</v>
      </c>
      <c r="AA264" s="4">
        <v>405842</v>
      </c>
      <c r="AB264" s="4">
        <v>405842</v>
      </c>
      <c r="AC264" s="4">
        <v>405842</v>
      </c>
      <c r="AD264" s="4">
        <v>405843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2036643</v>
      </c>
      <c r="AJ264" s="4">
        <v>2442486</v>
      </c>
      <c r="AK264" s="4">
        <v>2848328</v>
      </c>
      <c r="AL264" s="4">
        <v>3254170</v>
      </c>
      <c r="AM264" s="4">
        <v>3660012</v>
      </c>
      <c r="AN264" s="4">
        <v>4065855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13900</v>
      </c>
      <c r="I265" s="1">
        <v>0</v>
      </c>
      <c r="J265" s="3">
        <v>4229987</v>
      </c>
      <c r="K265" s="3">
        <v>4216087</v>
      </c>
      <c r="L265" s="3">
        <v>4216087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3096554</v>
      </c>
      <c r="T265" s="3">
        <v>3096554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420682</v>
      </c>
      <c r="Z265" s="3">
        <v>420682</v>
      </c>
      <c r="AA265" s="4">
        <v>420682</v>
      </c>
      <c r="AB265" s="4">
        <v>420682</v>
      </c>
      <c r="AC265" s="4">
        <v>420682</v>
      </c>
      <c r="AD265" s="4">
        <v>420681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2112678</v>
      </c>
      <c r="AJ265" s="4">
        <v>2533360</v>
      </c>
      <c r="AK265" s="4">
        <v>2954042</v>
      </c>
      <c r="AL265" s="4">
        <v>3374724</v>
      </c>
      <c r="AM265" s="4">
        <v>3795406</v>
      </c>
      <c r="AN265" s="4">
        <v>4216087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25199</v>
      </c>
      <c r="I266" s="3">
        <v>0</v>
      </c>
      <c r="J266" s="3">
        <v>7531152</v>
      </c>
      <c r="K266" s="3">
        <v>7505953</v>
      </c>
      <c r="L266" s="3">
        <v>7505953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5267590</v>
      </c>
      <c r="T266" s="3">
        <v>5267590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748916</v>
      </c>
      <c r="Z266" s="3">
        <v>748916</v>
      </c>
      <c r="AA266" s="4">
        <v>748915</v>
      </c>
      <c r="AB266" s="4">
        <v>748915</v>
      </c>
      <c r="AC266" s="4">
        <v>748915</v>
      </c>
      <c r="AD266" s="4">
        <v>748916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3761376</v>
      </c>
      <c r="AJ266" s="4">
        <v>4510292</v>
      </c>
      <c r="AK266" s="4">
        <v>5259207</v>
      </c>
      <c r="AL266" s="4">
        <v>6008122</v>
      </c>
      <c r="AM266" s="4">
        <v>6757037</v>
      </c>
      <c r="AN266" s="4">
        <v>7505953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4294</v>
      </c>
      <c r="I267" s="1">
        <v>0</v>
      </c>
      <c r="J267" s="3">
        <v>1398433</v>
      </c>
      <c r="K267" s="3">
        <v>1394139</v>
      </c>
      <c r="L267" s="3">
        <v>1394139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1002879</v>
      </c>
      <c r="T267" s="3">
        <v>1002879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139128</v>
      </c>
      <c r="Z267" s="3">
        <v>139128</v>
      </c>
      <c r="AA267" s="4">
        <v>139128</v>
      </c>
      <c r="AB267" s="4">
        <v>139128</v>
      </c>
      <c r="AC267" s="4">
        <v>139128</v>
      </c>
      <c r="AD267" s="4">
        <v>139127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698500</v>
      </c>
      <c r="AJ267" s="4">
        <v>837628</v>
      </c>
      <c r="AK267" s="4">
        <v>976756</v>
      </c>
      <c r="AL267" s="4">
        <v>1115884</v>
      </c>
      <c r="AM267" s="4">
        <v>1255012</v>
      </c>
      <c r="AN267" s="4">
        <v>1394139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31134</v>
      </c>
      <c r="I268" s="3">
        <v>306941</v>
      </c>
      <c r="J268" s="3">
        <v>12737907</v>
      </c>
      <c r="K268" s="3">
        <v>12706773</v>
      </c>
      <c r="L268" s="3">
        <v>12399832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10476626</v>
      </c>
      <c r="T268" s="3">
        <v>10169685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1268602</v>
      </c>
      <c r="Z268" s="3">
        <v>1268602</v>
      </c>
      <c r="AA268" s="4">
        <v>1191866</v>
      </c>
      <c r="AB268" s="4">
        <v>1191866</v>
      </c>
      <c r="AC268" s="4">
        <v>1191866</v>
      </c>
      <c r="AD268" s="4">
        <v>1191866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6363766</v>
      </c>
      <c r="AJ268" s="4">
        <v>7632368</v>
      </c>
      <c r="AK268" s="4">
        <v>8824234</v>
      </c>
      <c r="AL268" s="4">
        <v>10016100</v>
      </c>
      <c r="AM268" s="4">
        <v>11207966</v>
      </c>
      <c r="AN268" s="4">
        <v>12399832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12286</v>
      </c>
      <c r="I269" s="1">
        <v>0</v>
      </c>
      <c r="J269" s="3">
        <v>4615943</v>
      </c>
      <c r="K269" s="3">
        <v>4603657</v>
      </c>
      <c r="L269" s="3">
        <v>4603657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3445742</v>
      </c>
      <c r="T269" s="3">
        <v>3445742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459547</v>
      </c>
      <c r="Z269" s="3">
        <v>459547</v>
      </c>
      <c r="AA269" s="4">
        <v>459547</v>
      </c>
      <c r="AB269" s="4">
        <v>459547</v>
      </c>
      <c r="AC269" s="4">
        <v>459547</v>
      </c>
      <c r="AD269" s="4">
        <v>459546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2305923</v>
      </c>
      <c r="AJ269" s="4">
        <v>2765470</v>
      </c>
      <c r="AK269" s="4">
        <v>3225017</v>
      </c>
      <c r="AL269" s="4">
        <v>3684564</v>
      </c>
      <c r="AM269" s="4">
        <v>4144111</v>
      </c>
      <c r="AN269" s="4">
        <v>4603657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166198</v>
      </c>
      <c r="I270" s="3">
        <v>0</v>
      </c>
      <c r="J270" s="3">
        <v>61163967</v>
      </c>
      <c r="K270" s="3">
        <v>60997769</v>
      </c>
      <c r="L270" s="3">
        <v>60997769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50504423</v>
      </c>
      <c r="T270" s="3">
        <v>50504423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6088697</v>
      </c>
      <c r="Z270" s="3">
        <v>6088697</v>
      </c>
      <c r="AA270" s="4">
        <v>6088697</v>
      </c>
      <c r="AB270" s="4">
        <v>6088697</v>
      </c>
      <c r="AC270" s="4">
        <v>6088697</v>
      </c>
      <c r="AD270" s="4">
        <v>6088696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30554285</v>
      </c>
      <c r="AJ270" s="4">
        <v>36642982</v>
      </c>
      <c r="AK270" s="4">
        <v>42731679</v>
      </c>
      <c r="AL270" s="4">
        <v>48820376</v>
      </c>
      <c r="AM270" s="4">
        <v>54909073</v>
      </c>
      <c r="AN270" s="4">
        <v>60997769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44401</v>
      </c>
      <c r="I271" s="1">
        <v>0</v>
      </c>
      <c r="J271" s="3">
        <v>16794998</v>
      </c>
      <c r="K271" s="3">
        <v>16750597</v>
      </c>
      <c r="L271" s="3">
        <v>16750597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13354542</v>
      </c>
      <c r="T271" s="3">
        <v>13354542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1672100</v>
      </c>
      <c r="Z271" s="3">
        <v>1672100</v>
      </c>
      <c r="AA271" s="4">
        <v>1672099</v>
      </c>
      <c r="AB271" s="4">
        <v>1672099</v>
      </c>
      <c r="AC271" s="4">
        <v>1672099</v>
      </c>
      <c r="AD271" s="4">
        <v>1672100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8390100</v>
      </c>
      <c r="AJ271" s="4">
        <v>10062200</v>
      </c>
      <c r="AK271" s="4">
        <v>11734299</v>
      </c>
      <c r="AL271" s="4">
        <v>13406398</v>
      </c>
      <c r="AM271" s="4">
        <v>15078497</v>
      </c>
      <c r="AN271" s="4">
        <v>16750597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26220</v>
      </c>
      <c r="I272" s="1">
        <v>0</v>
      </c>
      <c r="J272" s="3">
        <v>2003325</v>
      </c>
      <c r="K272" s="3">
        <v>1977105</v>
      </c>
      <c r="L272" s="3">
        <v>1977105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107728</v>
      </c>
      <c r="T272" s="3">
        <v>107728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195962</v>
      </c>
      <c r="Z272" s="3">
        <v>195962</v>
      </c>
      <c r="AA272" s="4">
        <v>195962</v>
      </c>
      <c r="AB272" s="4">
        <v>195962</v>
      </c>
      <c r="AC272" s="4">
        <v>195962</v>
      </c>
      <c r="AD272" s="4">
        <v>195963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997294</v>
      </c>
      <c r="AJ272" s="4">
        <v>1193256</v>
      </c>
      <c r="AK272" s="4">
        <v>1389218</v>
      </c>
      <c r="AL272" s="4">
        <v>1585180</v>
      </c>
      <c r="AM272" s="4">
        <v>1781142</v>
      </c>
      <c r="AN272" s="4">
        <v>1977105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9212</v>
      </c>
      <c r="I273" s="1">
        <v>0</v>
      </c>
      <c r="J273" s="3">
        <v>3489683</v>
      </c>
      <c r="K273" s="3">
        <v>3480471</v>
      </c>
      <c r="L273" s="3">
        <v>3480471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2508105</v>
      </c>
      <c r="T273" s="3">
        <v>2508105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347433</v>
      </c>
      <c r="Z273" s="3">
        <v>347433</v>
      </c>
      <c r="AA273" s="4">
        <v>347433</v>
      </c>
      <c r="AB273" s="4">
        <v>347433</v>
      </c>
      <c r="AC273" s="4">
        <v>347433</v>
      </c>
      <c r="AD273" s="4">
        <v>347434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1743305</v>
      </c>
      <c r="AJ273" s="4">
        <v>2090738</v>
      </c>
      <c r="AK273" s="4">
        <v>2438171</v>
      </c>
      <c r="AL273" s="4">
        <v>2785604</v>
      </c>
      <c r="AM273" s="4">
        <v>3133037</v>
      </c>
      <c r="AN273" s="4">
        <v>3480471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4517</v>
      </c>
      <c r="I274" s="1">
        <v>0</v>
      </c>
      <c r="J274" s="3">
        <v>1851318</v>
      </c>
      <c r="K274" s="3">
        <v>1846801</v>
      </c>
      <c r="L274" s="3">
        <v>1846801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1356600</v>
      </c>
      <c r="T274" s="3">
        <v>1356600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184379</v>
      </c>
      <c r="Z274" s="3">
        <v>184379</v>
      </c>
      <c r="AA274" s="4">
        <v>184379</v>
      </c>
      <c r="AB274" s="4">
        <v>184379</v>
      </c>
      <c r="AC274" s="4">
        <v>184379</v>
      </c>
      <c r="AD274" s="4">
        <v>184378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924907</v>
      </c>
      <c r="AJ274" s="4">
        <v>1109286</v>
      </c>
      <c r="AK274" s="4">
        <v>1293665</v>
      </c>
      <c r="AL274" s="4">
        <v>1478044</v>
      </c>
      <c r="AM274" s="4">
        <v>1662423</v>
      </c>
      <c r="AN274" s="4">
        <v>1846801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12313</v>
      </c>
      <c r="I275" s="3">
        <v>0</v>
      </c>
      <c r="J275" s="3">
        <v>4347294</v>
      </c>
      <c r="K275" s="3">
        <v>4334981</v>
      </c>
      <c r="L275" s="3">
        <v>4334981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3336082</v>
      </c>
      <c r="T275" s="3">
        <v>3336082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432678</v>
      </c>
      <c r="Z275" s="3">
        <v>432678</v>
      </c>
      <c r="AA275" s="4">
        <v>432677</v>
      </c>
      <c r="AB275" s="4">
        <v>432677</v>
      </c>
      <c r="AC275" s="4">
        <v>432677</v>
      </c>
      <c r="AD275" s="4">
        <v>432678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2171594</v>
      </c>
      <c r="AJ275" s="4">
        <v>2604272</v>
      </c>
      <c r="AK275" s="4">
        <v>3036949</v>
      </c>
      <c r="AL275" s="4">
        <v>3469626</v>
      </c>
      <c r="AM275" s="4">
        <v>3902303</v>
      </c>
      <c r="AN275" s="4">
        <v>4334981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60700</v>
      </c>
      <c r="I276" s="1">
        <v>0</v>
      </c>
      <c r="J276" s="3">
        <v>26877668</v>
      </c>
      <c r="K276" s="3">
        <v>26816968</v>
      </c>
      <c r="L276" s="3">
        <v>26816968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22336651</v>
      </c>
      <c r="T276" s="3">
        <v>22336651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2677650</v>
      </c>
      <c r="Z276" s="3">
        <v>2677650</v>
      </c>
      <c r="AA276" s="4">
        <v>2677650</v>
      </c>
      <c r="AB276" s="4">
        <v>2677650</v>
      </c>
      <c r="AC276" s="4">
        <v>2677650</v>
      </c>
      <c r="AD276" s="4">
        <v>2677650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13428718</v>
      </c>
      <c r="AJ276" s="4">
        <v>16106368</v>
      </c>
      <c r="AK276" s="4">
        <v>18784018</v>
      </c>
      <c r="AL276" s="4">
        <v>21461668</v>
      </c>
      <c r="AM276" s="4">
        <v>24139318</v>
      </c>
      <c r="AN276" s="4">
        <v>26816968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3126</v>
      </c>
      <c r="I277" s="3">
        <v>0</v>
      </c>
      <c r="J277" s="3">
        <v>1085766</v>
      </c>
      <c r="K277" s="3">
        <v>1082640</v>
      </c>
      <c r="L277" s="3">
        <v>1082640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782883</v>
      </c>
      <c r="T277" s="3">
        <v>782883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108055</v>
      </c>
      <c r="Z277" s="3">
        <v>108055</v>
      </c>
      <c r="AA277" s="4">
        <v>108056</v>
      </c>
      <c r="AB277" s="4">
        <v>108056</v>
      </c>
      <c r="AC277" s="4">
        <v>108056</v>
      </c>
      <c r="AD277" s="4">
        <v>108054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542363</v>
      </c>
      <c r="AJ277" s="4">
        <v>650418</v>
      </c>
      <c r="AK277" s="4">
        <v>758474</v>
      </c>
      <c r="AL277" s="4">
        <v>866530</v>
      </c>
      <c r="AM277" s="4">
        <v>974586</v>
      </c>
      <c r="AN277" s="4">
        <v>1082640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21767</v>
      </c>
      <c r="I278" s="1">
        <v>0</v>
      </c>
      <c r="J278" s="3">
        <v>6575592</v>
      </c>
      <c r="K278" s="3">
        <v>6553825</v>
      </c>
      <c r="L278" s="3">
        <v>6553825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5002993</v>
      </c>
      <c r="T278" s="3">
        <v>5002993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653932</v>
      </c>
      <c r="Z278" s="3">
        <v>653932</v>
      </c>
      <c r="AA278" s="4">
        <v>653931</v>
      </c>
      <c r="AB278" s="4">
        <v>653931</v>
      </c>
      <c r="AC278" s="4">
        <v>653931</v>
      </c>
      <c r="AD278" s="4">
        <v>653932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3284168</v>
      </c>
      <c r="AJ278" s="4">
        <v>3938100</v>
      </c>
      <c r="AK278" s="4">
        <v>4592031</v>
      </c>
      <c r="AL278" s="4">
        <v>5245962</v>
      </c>
      <c r="AM278" s="4">
        <v>5899893</v>
      </c>
      <c r="AN278" s="4">
        <v>6553825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17307</v>
      </c>
      <c r="I279" s="1">
        <v>0</v>
      </c>
      <c r="J279" s="3">
        <v>6015634</v>
      </c>
      <c r="K279" s="3">
        <v>5998327</v>
      </c>
      <c r="L279" s="3">
        <v>5998327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4660678</v>
      </c>
      <c r="T279" s="3">
        <v>4660678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598679</v>
      </c>
      <c r="Z279" s="3">
        <v>598679</v>
      </c>
      <c r="AA279" s="4">
        <v>598679</v>
      </c>
      <c r="AB279" s="4">
        <v>598679</v>
      </c>
      <c r="AC279" s="4">
        <v>598679</v>
      </c>
      <c r="AD279" s="4">
        <v>598680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3004931</v>
      </c>
      <c r="AJ279" s="4">
        <v>3603610</v>
      </c>
      <c r="AK279" s="4">
        <v>4202289</v>
      </c>
      <c r="AL279" s="4">
        <v>4800968</v>
      </c>
      <c r="AM279" s="4">
        <v>5399647</v>
      </c>
      <c r="AN279" s="4">
        <v>5998327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17250</v>
      </c>
      <c r="I280" s="1">
        <v>0</v>
      </c>
      <c r="J280" s="3">
        <v>6017024</v>
      </c>
      <c r="K280" s="3">
        <v>5999774</v>
      </c>
      <c r="L280" s="3">
        <v>5999774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4530472</v>
      </c>
      <c r="T280" s="3">
        <v>4530472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598828</v>
      </c>
      <c r="Z280" s="3">
        <v>598828</v>
      </c>
      <c r="AA280" s="4">
        <v>598828</v>
      </c>
      <c r="AB280" s="4">
        <v>598828</v>
      </c>
      <c r="AC280" s="4">
        <v>598828</v>
      </c>
      <c r="AD280" s="4">
        <v>598826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3005636</v>
      </c>
      <c r="AJ280" s="4">
        <v>3604464</v>
      </c>
      <c r="AK280" s="4">
        <v>4203292</v>
      </c>
      <c r="AL280" s="4">
        <v>4802120</v>
      </c>
      <c r="AM280" s="4">
        <v>5400948</v>
      </c>
      <c r="AN280" s="4">
        <v>5999774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13196</v>
      </c>
      <c r="I281" s="3">
        <v>26191</v>
      </c>
      <c r="J281" s="3">
        <v>4172956</v>
      </c>
      <c r="K281" s="3">
        <v>4159760</v>
      </c>
      <c r="L281" s="3">
        <v>4133569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3120039</v>
      </c>
      <c r="T281" s="3">
        <v>3093848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415096</v>
      </c>
      <c r="Z281" s="3">
        <v>415096</v>
      </c>
      <c r="AA281" s="4">
        <v>408548</v>
      </c>
      <c r="AB281" s="4">
        <v>408548</v>
      </c>
      <c r="AC281" s="4">
        <v>408548</v>
      </c>
      <c r="AD281" s="4">
        <v>408549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2084280</v>
      </c>
      <c r="AJ281" s="4">
        <v>2499376</v>
      </c>
      <c r="AK281" s="4">
        <v>2907924</v>
      </c>
      <c r="AL281" s="4">
        <v>3316472</v>
      </c>
      <c r="AM281" s="4">
        <v>3725020</v>
      </c>
      <c r="AN281" s="4">
        <v>4133569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15180</v>
      </c>
      <c r="I282" s="1">
        <v>0</v>
      </c>
      <c r="J282" s="3">
        <v>5442041</v>
      </c>
      <c r="K282" s="3">
        <v>5426861</v>
      </c>
      <c r="L282" s="3">
        <v>5426861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4185821</v>
      </c>
      <c r="T282" s="3">
        <v>4185821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541674</v>
      </c>
      <c r="Z282" s="3">
        <v>541674</v>
      </c>
      <c r="AA282" s="4">
        <v>541674</v>
      </c>
      <c r="AB282" s="4">
        <v>541674</v>
      </c>
      <c r="AC282" s="4">
        <v>541674</v>
      </c>
      <c r="AD282" s="4">
        <v>541675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2718490</v>
      </c>
      <c r="AJ282" s="4">
        <v>3260164</v>
      </c>
      <c r="AK282" s="4">
        <v>3801838</v>
      </c>
      <c r="AL282" s="4">
        <v>4343512</v>
      </c>
      <c r="AM282" s="4">
        <v>4885186</v>
      </c>
      <c r="AN282" s="4">
        <v>5426861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5468</v>
      </c>
      <c r="I283" s="1">
        <v>0</v>
      </c>
      <c r="J283" s="3">
        <v>1888900</v>
      </c>
      <c r="K283" s="3">
        <v>1883432</v>
      </c>
      <c r="L283" s="3">
        <v>1883432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1370627</v>
      </c>
      <c r="T283" s="3">
        <v>1370627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187979</v>
      </c>
      <c r="Z283" s="3">
        <v>187979</v>
      </c>
      <c r="AA283" s="4">
        <v>187979</v>
      </c>
      <c r="AB283" s="4">
        <v>187979</v>
      </c>
      <c r="AC283" s="4">
        <v>187979</v>
      </c>
      <c r="AD283" s="4">
        <v>187977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943539</v>
      </c>
      <c r="AJ283" s="4">
        <v>1131518</v>
      </c>
      <c r="AK283" s="4">
        <v>1319497</v>
      </c>
      <c r="AL283" s="4">
        <v>1507476</v>
      </c>
      <c r="AM283" s="4">
        <v>1695455</v>
      </c>
      <c r="AN283" s="4">
        <v>1883432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8733</v>
      </c>
      <c r="I284" s="1">
        <v>0</v>
      </c>
      <c r="J284" s="3">
        <v>3533540</v>
      </c>
      <c r="K284" s="3">
        <v>3524807</v>
      </c>
      <c r="L284" s="3">
        <v>3524807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2693820</v>
      </c>
      <c r="T284" s="3">
        <v>2693820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351899</v>
      </c>
      <c r="Z284" s="3">
        <v>351899</v>
      </c>
      <c r="AA284" s="4">
        <v>351898</v>
      </c>
      <c r="AB284" s="4">
        <v>351898</v>
      </c>
      <c r="AC284" s="4">
        <v>351898</v>
      </c>
      <c r="AD284" s="4">
        <v>351899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1765315</v>
      </c>
      <c r="AJ284" s="4">
        <v>2117214</v>
      </c>
      <c r="AK284" s="4">
        <v>2469112</v>
      </c>
      <c r="AL284" s="4">
        <v>2821010</v>
      </c>
      <c r="AM284" s="4">
        <v>3172908</v>
      </c>
      <c r="AN284" s="4">
        <v>3524807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8138</v>
      </c>
      <c r="I285" s="3">
        <v>0</v>
      </c>
      <c r="J285" s="3">
        <v>2609679</v>
      </c>
      <c r="K285" s="3">
        <v>2601541</v>
      </c>
      <c r="L285" s="3">
        <v>2601541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1835909</v>
      </c>
      <c r="T285" s="3">
        <v>1835909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259612</v>
      </c>
      <c r="Z285" s="3">
        <v>259612</v>
      </c>
      <c r="AA285" s="4">
        <v>259611</v>
      </c>
      <c r="AB285" s="4">
        <v>259611</v>
      </c>
      <c r="AC285" s="4">
        <v>259611</v>
      </c>
      <c r="AD285" s="4">
        <v>259612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1303484</v>
      </c>
      <c r="AJ285" s="4">
        <v>1563096</v>
      </c>
      <c r="AK285" s="4">
        <v>1822707</v>
      </c>
      <c r="AL285" s="4">
        <v>2082318</v>
      </c>
      <c r="AM285" s="4">
        <v>2341929</v>
      </c>
      <c r="AN285" s="4">
        <v>2601541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6654</v>
      </c>
      <c r="I286" s="3">
        <v>17518</v>
      </c>
      <c r="J286" s="3">
        <v>2653164</v>
      </c>
      <c r="K286" s="3">
        <v>2646510</v>
      </c>
      <c r="L286" s="3">
        <v>2628992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1967133</v>
      </c>
      <c r="T286" s="3">
        <v>1949615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264208</v>
      </c>
      <c r="Z286" s="3">
        <v>264208</v>
      </c>
      <c r="AA286" s="4">
        <v>259828</v>
      </c>
      <c r="AB286" s="4">
        <v>259828</v>
      </c>
      <c r="AC286" s="4">
        <v>259828</v>
      </c>
      <c r="AD286" s="4">
        <v>259828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1325472</v>
      </c>
      <c r="AJ286" s="4">
        <v>1589680</v>
      </c>
      <c r="AK286" s="4">
        <v>1849508</v>
      </c>
      <c r="AL286" s="4">
        <v>2109336</v>
      </c>
      <c r="AM286" s="4">
        <v>2369164</v>
      </c>
      <c r="AN286" s="4">
        <v>2628992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3694</v>
      </c>
      <c r="I287" s="1">
        <v>0</v>
      </c>
      <c r="J287" s="3">
        <v>936246</v>
      </c>
      <c r="K287" s="3">
        <v>932552</v>
      </c>
      <c r="L287" s="3">
        <v>932552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598112</v>
      </c>
      <c r="T287" s="3">
        <v>598112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93009</v>
      </c>
      <c r="Z287" s="3">
        <v>93009</v>
      </c>
      <c r="AA287" s="4">
        <v>93009</v>
      </c>
      <c r="AB287" s="4">
        <v>93009</v>
      </c>
      <c r="AC287" s="4">
        <v>93009</v>
      </c>
      <c r="AD287" s="4">
        <v>93007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467509</v>
      </c>
      <c r="AJ287" s="4">
        <v>560518</v>
      </c>
      <c r="AK287" s="4">
        <v>653527</v>
      </c>
      <c r="AL287" s="4">
        <v>746536</v>
      </c>
      <c r="AM287" s="4">
        <v>839545</v>
      </c>
      <c r="AN287" s="4">
        <v>932552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16536</v>
      </c>
      <c r="I288" s="1">
        <v>0</v>
      </c>
      <c r="J288" s="3">
        <v>5655532</v>
      </c>
      <c r="K288" s="3">
        <v>5638996</v>
      </c>
      <c r="L288" s="3">
        <v>5638996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4316335</v>
      </c>
      <c r="T288" s="3">
        <v>4316335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562797</v>
      </c>
      <c r="Z288" s="3">
        <v>562797</v>
      </c>
      <c r="AA288" s="4">
        <v>562798</v>
      </c>
      <c r="AB288" s="4">
        <v>562798</v>
      </c>
      <c r="AC288" s="4">
        <v>562798</v>
      </c>
      <c r="AD288" s="4">
        <v>562796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2825009</v>
      </c>
      <c r="AJ288" s="4">
        <v>3387806</v>
      </c>
      <c r="AK288" s="4">
        <v>3950604</v>
      </c>
      <c r="AL288" s="4">
        <v>4513402</v>
      </c>
      <c r="AM288" s="4">
        <v>5076200</v>
      </c>
      <c r="AN288" s="4">
        <v>5638996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8316</v>
      </c>
      <c r="I289" s="1">
        <v>0</v>
      </c>
      <c r="J289" s="3">
        <v>1902265</v>
      </c>
      <c r="K289" s="3">
        <v>1893949</v>
      </c>
      <c r="L289" s="3">
        <v>1893949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1006274</v>
      </c>
      <c r="T289" s="3">
        <v>1006274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188840</v>
      </c>
      <c r="Z289" s="3">
        <v>188840</v>
      </c>
      <c r="AA289" s="4">
        <v>188840</v>
      </c>
      <c r="AB289" s="4">
        <v>188840</v>
      </c>
      <c r="AC289" s="4">
        <v>188840</v>
      </c>
      <c r="AD289" s="4">
        <v>188841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949748</v>
      </c>
      <c r="AJ289" s="4">
        <v>1138588</v>
      </c>
      <c r="AK289" s="4">
        <v>1327428</v>
      </c>
      <c r="AL289" s="4">
        <v>1516268</v>
      </c>
      <c r="AM289" s="4">
        <v>1705108</v>
      </c>
      <c r="AN289" s="4">
        <v>1893949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78835</v>
      </c>
      <c r="I290" s="1">
        <v>0</v>
      </c>
      <c r="J290" s="3">
        <v>27330882</v>
      </c>
      <c r="K290" s="3">
        <v>27252047</v>
      </c>
      <c r="L290" s="3">
        <v>27252047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21697444</v>
      </c>
      <c r="T290" s="3">
        <v>21697444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2719949</v>
      </c>
      <c r="Z290" s="3">
        <v>2719949</v>
      </c>
      <c r="AA290" s="4">
        <v>2719949</v>
      </c>
      <c r="AB290" s="4">
        <v>2719949</v>
      </c>
      <c r="AC290" s="4">
        <v>2719949</v>
      </c>
      <c r="AD290" s="4">
        <v>2719950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13652301</v>
      </c>
      <c r="AJ290" s="4">
        <v>16372250</v>
      </c>
      <c r="AK290" s="4">
        <v>19092199</v>
      </c>
      <c r="AL290" s="4">
        <v>21812148</v>
      </c>
      <c r="AM290" s="4">
        <v>24532097</v>
      </c>
      <c r="AN290" s="4">
        <v>27252047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21715</v>
      </c>
      <c r="I291" s="3">
        <v>0</v>
      </c>
      <c r="J291" s="3">
        <v>7070092</v>
      </c>
      <c r="K291" s="3">
        <v>7048377</v>
      </c>
      <c r="L291" s="3">
        <v>7048377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5355496</v>
      </c>
      <c r="T291" s="3">
        <v>5355496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703390</v>
      </c>
      <c r="Z291" s="3">
        <v>703390</v>
      </c>
      <c r="AA291" s="4">
        <v>703390</v>
      </c>
      <c r="AB291" s="4">
        <v>703390</v>
      </c>
      <c r="AC291" s="4">
        <v>703390</v>
      </c>
      <c r="AD291" s="4">
        <v>703391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3531426</v>
      </c>
      <c r="AJ291" s="4">
        <v>4234816</v>
      </c>
      <c r="AK291" s="4">
        <v>4938206</v>
      </c>
      <c r="AL291" s="4">
        <v>5641596</v>
      </c>
      <c r="AM291" s="4">
        <v>6344986</v>
      </c>
      <c r="AN291" s="4">
        <v>7048377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21902</v>
      </c>
      <c r="I292" s="1">
        <v>0</v>
      </c>
      <c r="J292" s="3">
        <v>7368372</v>
      </c>
      <c r="K292" s="3">
        <v>7346470</v>
      </c>
      <c r="L292" s="3">
        <v>7346470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5843851</v>
      </c>
      <c r="T292" s="3">
        <v>5843851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733187</v>
      </c>
      <c r="Z292" s="3">
        <v>733187</v>
      </c>
      <c r="AA292" s="4">
        <v>733187</v>
      </c>
      <c r="AB292" s="4">
        <v>733187</v>
      </c>
      <c r="AC292" s="4">
        <v>733187</v>
      </c>
      <c r="AD292" s="4">
        <v>733187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3680535</v>
      </c>
      <c r="AJ292" s="4">
        <v>4413722</v>
      </c>
      <c r="AK292" s="4">
        <v>5146909</v>
      </c>
      <c r="AL292" s="4">
        <v>5880096</v>
      </c>
      <c r="AM292" s="4">
        <v>6613283</v>
      </c>
      <c r="AN292" s="4">
        <v>7346470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6202</v>
      </c>
      <c r="I293" s="1">
        <v>0</v>
      </c>
      <c r="J293" s="3">
        <v>2092761</v>
      </c>
      <c r="K293" s="3">
        <v>2086559</v>
      </c>
      <c r="L293" s="3">
        <v>2086559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1521225</v>
      </c>
      <c r="T293" s="3">
        <v>1521225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208243</v>
      </c>
      <c r="Z293" s="3">
        <v>208243</v>
      </c>
      <c r="AA293" s="4">
        <v>208242</v>
      </c>
      <c r="AB293" s="4">
        <v>208242</v>
      </c>
      <c r="AC293" s="4">
        <v>208242</v>
      </c>
      <c r="AD293" s="4">
        <v>208243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1045347</v>
      </c>
      <c r="AJ293" s="4">
        <v>1253590</v>
      </c>
      <c r="AK293" s="4">
        <v>1461832</v>
      </c>
      <c r="AL293" s="4">
        <v>1670074</v>
      </c>
      <c r="AM293" s="4">
        <v>1878316</v>
      </c>
      <c r="AN293" s="4">
        <v>2086559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37054</v>
      </c>
      <c r="I294" s="1">
        <v>0</v>
      </c>
      <c r="J294" s="3">
        <v>13167738</v>
      </c>
      <c r="K294" s="3">
        <v>13130684</v>
      </c>
      <c r="L294" s="3">
        <v>13130684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10590604</v>
      </c>
      <c r="T294" s="3">
        <v>10590604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1310598</v>
      </c>
      <c r="Z294" s="3">
        <v>1310598</v>
      </c>
      <c r="AA294" s="4">
        <v>1310598</v>
      </c>
      <c r="AB294" s="4">
        <v>1310598</v>
      </c>
      <c r="AC294" s="4">
        <v>1310598</v>
      </c>
      <c r="AD294" s="4">
        <v>1310598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6577694</v>
      </c>
      <c r="AJ294" s="4">
        <v>7888292</v>
      </c>
      <c r="AK294" s="4">
        <v>9198890</v>
      </c>
      <c r="AL294" s="4">
        <v>10509488</v>
      </c>
      <c r="AM294" s="4">
        <v>11820086</v>
      </c>
      <c r="AN294" s="4">
        <v>13130684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11011</v>
      </c>
      <c r="I295" s="1">
        <v>0</v>
      </c>
      <c r="J295" s="3">
        <v>4629886</v>
      </c>
      <c r="K295" s="3">
        <v>4618875</v>
      </c>
      <c r="L295" s="3">
        <v>4618875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3389412</v>
      </c>
      <c r="T295" s="3">
        <v>3389412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461153</v>
      </c>
      <c r="Z295" s="3">
        <v>461153</v>
      </c>
      <c r="AA295" s="4">
        <v>461153</v>
      </c>
      <c r="AB295" s="4">
        <v>461153</v>
      </c>
      <c r="AC295" s="4">
        <v>461153</v>
      </c>
      <c r="AD295" s="4">
        <v>461154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2313109</v>
      </c>
      <c r="AJ295" s="4">
        <v>2774262</v>
      </c>
      <c r="AK295" s="4">
        <v>3235415</v>
      </c>
      <c r="AL295" s="4">
        <v>3696568</v>
      </c>
      <c r="AM295" s="4">
        <v>4157721</v>
      </c>
      <c r="AN295" s="4">
        <v>4618875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18402</v>
      </c>
      <c r="I296" s="3">
        <v>0</v>
      </c>
      <c r="J296" s="3">
        <v>5605785</v>
      </c>
      <c r="K296" s="3">
        <v>5587383</v>
      </c>
      <c r="L296" s="3">
        <v>5587383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4061711</v>
      </c>
      <c r="T296" s="3">
        <v>4061711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557511</v>
      </c>
      <c r="Z296" s="3">
        <v>557511</v>
      </c>
      <c r="AA296" s="4">
        <v>557511</v>
      </c>
      <c r="AB296" s="4">
        <v>557511</v>
      </c>
      <c r="AC296" s="4">
        <v>557511</v>
      </c>
      <c r="AD296" s="4">
        <v>557512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2799827</v>
      </c>
      <c r="AJ296" s="4">
        <v>3357338</v>
      </c>
      <c r="AK296" s="4">
        <v>3914849</v>
      </c>
      <c r="AL296" s="4">
        <v>4472360</v>
      </c>
      <c r="AM296" s="4">
        <v>5029871</v>
      </c>
      <c r="AN296" s="4">
        <v>5587383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11932</v>
      </c>
      <c r="I297" s="1">
        <v>0</v>
      </c>
      <c r="J297" s="3">
        <v>4304139</v>
      </c>
      <c r="K297" s="3">
        <v>4292207</v>
      </c>
      <c r="L297" s="3">
        <v>4292207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3309310</v>
      </c>
      <c r="T297" s="3">
        <v>3309310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428425</v>
      </c>
      <c r="Z297" s="3">
        <v>428425</v>
      </c>
      <c r="AA297" s="4">
        <v>428425</v>
      </c>
      <c r="AB297" s="4">
        <v>428425</v>
      </c>
      <c r="AC297" s="4">
        <v>428425</v>
      </c>
      <c r="AD297" s="4">
        <v>428426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2150081</v>
      </c>
      <c r="AJ297" s="4">
        <v>2578506</v>
      </c>
      <c r="AK297" s="4">
        <v>3006931</v>
      </c>
      <c r="AL297" s="4">
        <v>3435356</v>
      </c>
      <c r="AM297" s="4">
        <v>3863781</v>
      </c>
      <c r="AN297" s="4">
        <v>4292207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13364</v>
      </c>
      <c r="I298" s="3">
        <v>0</v>
      </c>
      <c r="J298" s="3">
        <v>5026991</v>
      </c>
      <c r="K298" s="3">
        <v>5013627</v>
      </c>
      <c r="L298" s="3">
        <v>5013627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3855886</v>
      </c>
      <c r="T298" s="3">
        <v>3855886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500472</v>
      </c>
      <c r="Z298" s="3">
        <v>500472</v>
      </c>
      <c r="AA298" s="4">
        <v>500472</v>
      </c>
      <c r="AB298" s="4">
        <v>500472</v>
      </c>
      <c r="AC298" s="4">
        <v>500472</v>
      </c>
      <c r="AD298" s="4">
        <v>500471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2511268</v>
      </c>
      <c r="AJ298" s="4">
        <v>3011740</v>
      </c>
      <c r="AK298" s="4">
        <v>3512212</v>
      </c>
      <c r="AL298" s="4">
        <v>4012684</v>
      </c>
      <c r="AM298" s="4">
        <v>4513156</v>
      </c>
      <c r="AN298" s="4">
        <v>5013627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36714</v>
      </c>
      <c r="I299" s="1">
        <v>0</v>
      </c>
      <c r="J299" s="3">
        <v>14394310</v>
      </c>
      <c r="K299" s="3">
        <v>14357596</v>
      </c>
      <c r="L299" s="3">
        <v>14357596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11204554</v>
      </c>
      <c r="T299" s="3">
        <v>11204554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1433312</v>
      </c>
      <c r="Z299" s="3">
        <v>1433312</v>
      </c>
      <c r="AA299" s="4">
        <v>1433312</v>
      </c>
      <c r="AB299" s="4">
        <v>1433312</v>
      </c>
      <c r="AC299" s="4">
        <v>1433312</v>
      </c>
      <c r="AD299" s="4">
        <v>1433312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7191036</v>
      </c>
      <c r="AJ299" s="4">
        <v>8624348</v>
      </c>
      <c r="AK299" s="4">
        <v>10057660</v>
      </c>
      <c r="AL299" s="4">
        <v>11490972</v>
      </c>
      <c r="AM299" s="4">
        <v>12924284</v>
      </c>
      <c r="AN299" s="4">
        <v>14357596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246549</v>
      </c>
      <c r="I300" s="1">
        <v>0</v>
      </c>
      <c r="J300" s="3">
        <v>107441365</v>
      </c>
      <c r="K300" s="3">
        <v>107194816</v>
      </c>
      <c r="L300" s="3">
        <v>107194816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90271019</v>
      </c>
      <c r="T300" s="3">
        <v>90271019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10703045</v>
      </c>
      <c r="Z300" s="3">
        <v>10703045</v>
      </c>
      <c r="AA300" s="4">
        <v>10703045</v>
      </c>
      <c r="AB300" s="4">
        <v>10703045</v>
      </c>
      <c r="AC300" s="4">
        <v>10703045</v>
      </c>
      <c r="AD300" s="4">
        <v>10703043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53679593</v>
      </c>
      <c r="AJ300" s="4">
        <v>64382638</v>
      </c>
      <c r="AK300" s="4">
        <v>75085683</v>
      </c>
      <c r="AL300" s="4">
        <v>85788728</v>
      </c>
      <c r="AM300" s="4">
        <v>96491773</v>
      </c>
      <c r="AN300" s="4">
        <v>107194816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319614</v>
      </c>
      <c r="I301" s="3">
        <v>0</v>
      </c>
      <c r="J301" s="3">
        <v>102359262</v>
      </c>
      <c r="K301" s="3">
        <v>102039648</v>
      </c>
      <c r="L301" s="3">
        <v>102039648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82820692</v>
      </c>
      <c r="T301" s="3">
        <v>82820692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10182657</v>
      </c>
      <c r="Z301" s="3">
        <v>10182657</v>
      </c>
      <c r="AA301" s="4">
        <v>10182658</v>
      </c>
      <c r="AB301" s="4">
        <v>10182658</v>
      </c>
      <c r="AC301" s="4">
        <v>10182658</v>
      </c>
      <c r="AD301" s="4">
        <v>10182656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51126361</v>
      </c>
      <c r="AJ301" s="4">
        <v>61309018</v>
      </c>
      <c r="AK301" s="4">
        <v>71491676</v>
      </c>
      <c r="AL301" s="4">
        <v>81674334</v>
      </c>
      <c r="AM301" s="4">
        <v>91856992</v>
      </c>
      <c r="AN301" s="4">
        <v>102039648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49426</v>
      </c>
      <c r="I302" s="1">
        <v>0</v>
      </c>
      <c r="J302" s="3">
        <v>17012031</v>
      </c>
      <c r="K302" s="3">
        <v>16962605</v>
      </c>
      <c r="L302" s="3">
        <v>16962605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13600581</v>
      </c>
      <c r="T302" s="3">
        <v>13600581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1692966</v>
      </c>
      <c r="Z302" s="3">
        <v>1692966</v>
      </c>
      <c r="AA302" s="4">
        <v>1692965</v>
      </c>
      <c r="AB302" s="4">
        <v>1692965</v>
      </c>
      <c r="AC302" s="4">
        <v>1692965</v>
      </c>
      <c r="AD302" s="4">
        <v>1692966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8497778</v>
      </c>
      <c r="AJ302" s="4">
        <v>10190744</v>
      </c>
      <c r="AK302" s="4">
        <v>11883709</v>
      </c>
      <c r="AL302" s="4">
        <v>13576674</v>
      </c>
      <c r="AM302" s="4">
        <v>15269639</v>
      </c>
      <c r="AN302" s="4">
        <v>16962605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12505</v>
      </c>
      <c r="I303" s="1">
        <v>0</v>
      </c>
      <c r="J303" s="3">
        <v>4249355</v>
      </c>
      <c r="K303" s="3">
        <v>4236850</v>
      </c>
      <c r="L303" s="3">
        <v>4236850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3063750</v>
      </c>
      <c r="T303" s="3">
        <v>3063750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422851</v>
      </c>
      <c r="Z303" s="3">
        <v>422851</v>
      </c>
      <c r="AA303" s="4">
        <v>422851</v>
      </c>
      <c r="AB303" s="4">
        <v>422851</v>
      </c>
      <c r="AC303" s="4">
        <v>422851</v>
      </c>
      <c r="AD303" s="4">
        <v>422851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2122595</v>
      </c>
      <c r="AJ303" s="4">
        <v>2545446</v>
      </c>
      <c r="AK303" s="4">
        <v>2968297</v>
      </c>
      <c r="AL303" s="4">
        <v>3391148</v>
      </c>
      <c r="AM303" s="4">
        <v>3813999</v>
      </c>
      <c r="AN303" s="4">
        <v>4236850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39795</v>
      </c>
      <c r="I304" s="3">
        <v>0</v>
      </c>
      <c r="J304" s="3">
        <v>13909019</v>
      </c>
      <c r="K304" s="3">
        <v>13869224</v>
      </c>
      <c r="L304" s="3">
        <v>13869224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10829482</v>
      </c>
      <c r="T304" s="3">
        <v>10829482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1384269</v>
      </c>
      <c r="Z304" s="3">
        <v>1384269</v>
      </c>
      <c r="AA304" s="4">
        <v>1384270</v>
      </c>
      <c r="AB304" s="4">
        <v>1384270</v>
      </c>
      <c r="AC304" s="4">
        <v>1384270</v>
      </c>
      <c r="AD304" s="4">
        <v>1384268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6947877</v>
      </c>
      <c r="AJ304" s="4">
        <v>8332146</v>
      </c>
      <c r="AK304" s="4">
        <v>9716416</v>
      </c>
      <c r="AL304" s="4">
        <v>11100686</v>
      </c>
      <c r="AM304" s="4">
        <v>12484956</v>
      </c>
      <c r="AN304" s="4">
        <v>13869224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7507</v>
      </c>
      <c r="I305" s="3">
        <v>20794</v>
      </c>
      <c r="J305" s="3">
        <v>2190705</v>
      </c>
      <c r="K305" s="3">
        <v>2183198</v>
      </c>
      <c r="L305" s="3">
        <v>2162404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1352811</v>
      </c>
      <c r="T305" s="3">
        <v>1332017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217819</v>
      </c>
      <c r="Z305" s="3">
        <v>217819</v>
      </c>
      <c r="AA305" s="4">
        <v>212621</v>
      </c>
      <c r="AB305" s="4">
        <v>212621</v>
      </c>
      <c r="AC305" s="4">
        <v>212621</v>
      </c>
      <c r="AD305" s="4">
        <v>212619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1094103</v>
      </c>
      <c r="AJ305" s="4">
        <v>1311922</v>
      </c>
      <c r="AK305" s="4">
        <v>1524543</v>
      </c>
      <c r="AL305" s="4">
        <v>1737164</v>
      </c>
      <c r="AM305" s="4">
        <v>1949785</v>
      </c>
      <c r="AN305" s="4">
        <v>2162404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18148</v>
      </c>
      <c r="I306" s="1">
        <v>0</v>
      </c>
      <c r="J306" s="3">
        <v>5686205</v>
      </c>
      <c r="K306" s="3">
        <v>5668057</v>
      </c>
      <c r="L306" s="3">
        <v>5668057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4274043</v>
      </c>
      <c r="T306" s="3">
        <v>4274043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565596</v>
      </c>
      <c r="Z306" s="3">
        <v>565596</v>
      </c>
      <c r="AA306" s="4">
        <v>565595</v>
      </c>
      <c r="AB306" s="4">
        <v>565595</v>
      </c>
      <c r="AC306" s="4">
        <v>565595</v>
      </c>
      <c r="AD306" s="4">
        <v>565596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2840080</v>
      </c>
      <c r="AJ306" s="4">
        <v>3405676</v>
      </c>
      <c r="AK306" s="4">
        <v>3971271</v>
      </c>
      <c r="AL306" s="4">
        <v>4536866</v>
      </c>
      <c r="AM306" s="4">
        <v>5102461</v>
      </c>
      <c r="AN306" s="4">
        <v>5668057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8802</v>
      </c>
      <c r="I307" s="3">
        <v>0</v>
      </c>
      <c r="J307" s="3">
        <v>3303746</v>
      </c>
      <c r="K307" s="3">
        <v>3294944</v>
      </c>
      <c r="L307" s="3">
        <v>3294944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2350181</v>
      </c>
      <c r="T307" s="3">
        <v>2350181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328907</v>
      </c>
      <c r="Z307" s="3">
        <v>328907</v>
      </c>
      <c r="AA307" s="4">
        <v>328908</v>
      </c>
      <c r="AB307" s="4">
        <v>328908</v>
      </c>
      <c r="AC307" s="4">
        <v>328908</v>
      </c>
      <c r="AD307" s="4">
        <v>328906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1650407</v>
      </c>
      <c r="AJ307" s="4">
        <v>1979314</v>
      </c>
      <c r="AK307" s="4">
        <v>2308222</v>
      </c>
      <c r="AL307" s="4">
        <v>2637130</v>
      </c>
      <c r="AM307" s="4">
        <v>2966038</v>
      </c>
      <c r="AN307" s="4">
        <v>3294944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6056</v>
      </c>
      <c r="I308" s="1">
        <v>0</v>
      </c>
      <c r="J308" s="3">
        <v>2150831</v>
      </c>
      <c r="K308" s="3">
        <v>2144775</v>
      </c>
      <c r="L308" s="3">
        <v>2144775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1482172</v>
      </c>
      <c r="T308" s="3">
        <v>1482172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214074</v>
      </c>
      <c r="Z308" s="3">
        <v>214074</v>
      </c>
      <c r="AA308" s="4">
        <v>214074</v>
      </c>
      <c r="AB308" s="4">
        <v>214074</v>
      </c>
      <c r="AC308" s="4">
        <v>214074</v>
      </c>
      <c r="AD308" s="4">
        <v>214073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1074406</v>
      </c>
      <c r="AJ308" s="4">
        <v>1288480</v>
      </c>
      <c r="AK308" s="4">
        <v>1502554</v>
      </c>
      <c r="AL308" s="4">
        <v>1716628</v>
      </c>
      <c r="AM308" s="4">
        <v>1930702</v>
      </c>
      <c r="AN308" s="4">
        <v>2144775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30311</v>
      </c>
      <c r="I309" s="1">
        <v>0</v>
      </c>
      <c r="J309" s="3">
        <v>9686076</v>
      </c>
      <c r="K309" s="3">
        <v>9655765</v>
      </c>
      <c r="L309" s="3">
        <v>9655765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7343959</v>
      </c>
      <c r="T309" s="3">
        <v>7343959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963556</v>
      </c>
      <c r="Z309" s="3">
        <v>963556</v>
      </c>
      <c r="AA309" s="4">
        <v>963555</v>
      </c>
      <c r="AB309" s="4">
        <v>963555</v>
      </c>
      <c r="AC309" s="4">
        <v>963555</v>
      </c>
      <c r="AD309" s="4">
        <v>963556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4837988</v>
      </c>
      <c r="AJ309" s="4">
        <v>5801544</v>
      </c>
      <c r="AK309" s="4">
        <v>6765099</v>
      </c>
      <c r="AL309" s="4">
        <v>7728654</v>
      </c>
      <c r="AM309" s="4">
        <v>8692209</v>
      </c>
      <c r="AN309" s="4">
        <v>9655765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194409</v>
      </c>
      <c r="I310" s="3">
        <v>0</v>
      </c>
      <c r="J310" s="3">
        <v>56796490</v>
      </c>
      <c r="K310" s="3">
        <v>56602081</v>
      </c>
      <c r="L310" s="3">
        <v>56602081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43845355</v>
      </c>
      <c r="T310" s="3">
        <v>43845355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5647248</v>
      </c>
      <c r="Z310" s="3">
        <v>5647248</v>
      </c>
      <c r="AA310" s="4">
        <v>5647247</v>
      </c>
      <c r="AB310" s="4">
        <v>5647247</v>
      </c>
      <c r="AC310" s="4">
        <v>5647247</v>
      </c>
      <c r="AD310" s="4">
        <v>5647248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28365844</v>
      </c>
      <c r="AJ310" s="4">
        <v>34013092</v>
      </c>
      <c r="AK310" s="4">
        <v>39660339</v>
      </c>
      <c r="AL310" s="4">
        <v>45307586</v>
      </c>
      <c r="AM310" s="4">
        <v>50954833</v>
      </c>
      <c r="AN310" s="4">
        <v>56602081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72617</v>
      </c>
      <c r="I311" s="1">
        <v>0</v>
      </c>
      <c r="J311" s="3">
        <v>23803080</v>
      </c>
      <c r="K311" s="3">
        <v>23730463</v>
      </c>
      <c r="L311" s="3">
        <v>23730463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17488376</v>
      </c>
      <c r="T311" s="3">
        <v>17488376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2368205</v>
      </c>
      <c r="Z311" s="3">
        <v>2368205</v>
      </c>
      <c r="AA311" s="4">
        <v>2368205</v>
      </c>
      <c r="AB311" s="4">
        <v>2368205</v>
      </c>
      <c r="AC311" s="4">
        <v>2368205</v>
      </c>
      <c r="AD311" s="4">
        <v>2368206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11889437</v>
      </c>
      <c r="AJ311" s="4">
        <v>14257642</v>
      </c>
      <c r="AK311" s="4">
        <v>16625847</v>
      </c>
      <c r="AL311" s="4">
        <v>18994052</v>
      </c>
      <c r="AM311" s="4">
        <v>21362257</v>
      </c>
      <c r="AN311" s="4">
        <v>23730463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7641</v>
      </c>
      <c r="I312" s="1">
        <v>0</v>
      </c>
      <c r="J312" s="3">
        <v>2152294</v>
      </c>
      <c r="K312" s="3">
        <v>2144653</v>
      </c>
      <c r="L312" s="3">
        <v>2144653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1506732</v>
      </c>
      <c r="T312" s="3">
        <v>1506732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213956</v>
      </c>
      <c r="Z312" s="3">
        <v>213956</v>
      </c>
      <c r="AA312" s="4">
        <v>213956</v>
      </c>
      <c r="AB312" s="4">
        <v>213956</v>
      </c>
      <c r="AC312" s="4">
        <v>213956</v>
      </c>
      <c r="AD312" s="4">
        <v>213957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1074872</v>
      </c>
      <c r="AJ312" s="4">
        <v>1288828</v>
      </c>
      <c r="AK312" s="4">
        <v>1502784</v>
      </c>
      <c r="AL312" s="4">
        <v>1716740</v>
      </c>
      <c r="AM312" s="4">
        <v>1930696</v>
      </c>
      <c r="AN312" s="4">
        <v>2144653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28186</v>
      </c>
      <c r="I313" s="1">
        <v>0</v>
      </c>
      <c r="J313" s="3">
        <v>11584970</v>
      </c>
      <c r="K313" s="3">
        <v>11556784</v>
      </c>
      <c r="L313" s="3">
        <v>11556784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9321938</v>
      </c>
      <c r="T313" s="3">
        <v>9321938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1153799</v>
      </c>
      <c r="Z313" s="3">
        <v>1153799</v>
      </c>
      <c r="AA313" s="4">
        <v>1153800</v>
      </c>
      <c r="AB313" s="4">
        <v>1153800</v>
      </c>
      <c r="AC313" s="4">
        <v>1153800</v>
      </c>
      <c r="AD313" s="4">
        <v>1153798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5787787</v>
      </c>
      <c r="AJ313" s="4">
        <v>6941586</v>
      </c>
      <c r="AK313" s="4">
        <v>8095386</v>
      </c>
      <c r="AL313" s="4">
        <v>9249186</v>
      </c>
      <c r="AM313" s="4">
        <v>10402986</v>
      </c>
      <c r="AN313" s="4">
        <v>11556784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21603</v>
      </c>
      <c r="I314" s="3">
        <v>0</v>
      </c>
      <c r="J314" s="3">
        <v>6416052</v>
      </c>
      <c r="K314" s="3">
        <v>6394449</v>
      </c>
      <c r="L314" s="3">
        <v>6394449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4683692</v>
      </c>
      <c r="T314" s="3">
        <v>4683692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638005</v>
      </c>
      <c r="Z314" s="3">
        <v>638005</v>
      </c>
      <c r="AA314" s="4">
        <v>638005</v>
      </c>
      <c r="AB314" s="4">
        <v>638005</v>
      </c>
      <c r="AC314" s="4">
        <v>638005</v>
      </c>
      <c r="AD314" s="4">
        <v>638004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3204425</v>
      </c>
      <c r="AJ314" s="4">
        <v>3842430</v>
      </c>
      <c r="AK314" s="4">
        <v>4480435</v>
      </c>
      <c r="AL314" s="4">
        <v>5118440</v>
      </c>
      <c r="AM314" s="4">
        <v>5756445</v>
      </c>
      <c r="AN314" s="4">
        <v>6394449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16634</v>
      </c>
      <c r="I315" s="3">
        <v>0</v>
      </c>
      <c r="J315" s="3">
        <v>5385182</v>
      </c>
      <c r="K315" s="3">
        <v>5368548</v>
      </c>
      <c r="L315" s="3">
        <v>5368548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4090949</v>
      </c>
      <c r="T315" s="3">
        <v>4090949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535746</v>
      </c>
      <c r="Z315" s="3">
        <v>535746</v>
      </c>
      <c r="AA315" s="4">
        <v>535746</v>
      </c>
      <c r="AB315" s="4">
        <v>535746</v>
      </c>
      <c r="AC315" s="4">
        <v>535746</v>
      </c>
      <c r="AD315" s="4">
        <v>535746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2689818</v>
      </c>
      <c r="AJ315" s="4">
        <v>3225564</v>
      </c>
      <c r="AK315" s="4">
        <v>3761310</v>
      </c>
      <c r="AL315" s="4">
        <v>4297056</v>
      </c>
      <c r="AM315" s="4">
        <v>4832802</v>
      </c>
      <c r="AN315" s="4">
        <v>5368548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13041</v>
      </c>
      <c r="I316" s="3">
        <v>0</v>
      </c>
      <c r="J316" s="3">
        <v>4252566</v>
      </c>
      <c r="K316" s="3">
        <v>4239525</v>
      </c>
      <c r="L316" s="3">
        <v>4239525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3048211</v>
      </c>
      <c r="T316" s="3">
        <v>3048211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423083</v>
      </c>
      <c r="Z316" s="3">
        <v>423083</v>
      </c>
      <c r="AA316" s="4">
        <v>423083</v>
      </c>
      <c r="AB316" s="4">
        <v>423083</v>
      </c>
      <c r="AC316" s="4">
        <v>423083</v>
      </c>
      <c r="AD316" s="4">
        <v>423082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2124111</v>
      </c>
      <c r="AJ316" s="4">
        <v>2547194</v>
      </c>
      <c r="AK316" s="4">
        <v>2970277</v>
      </c>
      <c r="AL316" s="4">
        <v>3393360</v>
      </c>
      <c r="AM316" s="4">
        <v>3816443</v>
      </c>
      <c r="AN316" s="4">
        <v>4239525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16716</v>
      </c>
      <c r="I317" s="3">
        <v>0</v>
      </c>
      <c r="J317" s="3">
        <v>6809897</v>
      </c>
      <c r="K317" s="3">
        <v>6793181</v>
      </c>
      <c r="L317" s="3">
        <v>6793181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5348903</v>
      </c>
      <c r="T317" s="3">
        <v>5348903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678204</v>
      </c>
      <c r="Z317" s="3">
        <v>678204</v>
      </c>
      <c r="AA317" s="4">
        <v>678203</v>
      </c>
      <c r="AB317" s="4">
        <v>678203</v>
      </c>
      <c r="AC317" s="4">
        <v>678203</v>
      </c>
      <c r="AD317" s="4">
        <v>678204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3402164</v>
      </c>
      <c r="AJ317" s="4">
        <v>4080368</v>
      </c>
      <c r="AK317" s="4">
        <v>4758571</v>
      </c>
      <c r="AL317" s="4">
        <v>5436774</v>
      </c>
      <c r="AM317" s="4">
        <v>6114977</v>
      </c>
      <c r="AN317" s="4">
        <v>6793181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11376</v>
      </c>
      <c r="I318" s="3">
        <v>0</v>
      </c>
      <c r="J318" s="3">
        <v>2976928</v>
      </c>
      <c r="K318" s="3">
        <v>2965552</v>
      </c>
      <c r="L318" s="3">
        <v>2965552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2015426</v>
      </c>
      <c r="T318" s="3">
        <v>2015426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295797</v>
      </c>
      <c r="Z318" s="3">
        <v>295797</v>
      </c>
      <c r="AA318" s="4">
        <v>295797</v>
      </c>
      <c r="AB318" s="4">
        <v>295797</v>
      </c>
      <c r="AC318" s="4">
        <v>295797</v>
      </c>
      <c r="AD318" s="4">
        <v>295795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1486569</v>
      </c>
      <c r="AJ318" s="4">
        <v>1782366</v>
      </c>
      <c r="AK318" s="4">
        <v>2078163</v>
      </c>
      <c r="AL318" s="4">
        <v>2373960</v>
      </c>
      <c r="AM318" s="4">
        <v>2669757</v>
      </c>
      <c r="AN318" s="4">
        <v>2965552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3915</v>
      </c>
      <c r="I319" s="1">
        <v>0</v>
      </c>
      <c r="J319" s="3">
        <v>1215608</v>
      </c>
      <c r="K319" s="3">
        <v>1211693</v>
      </c>
      <c r="L319" s="3">
        <v>1211693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743061</v>
      </c>
      <c r="T319" s="3">
        <v>743061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120908</v>
      </c>
      <c r="Z319" s="3">
        <v>120908</v>
      </c>
      <c r="AA319" s="4">
        <v>120908</v>
      </c>
      <c r="AB319" s="4">
        <v>120908</v>
      </c>
      <c r="AC319" s="4">
        <v>120908</v>
      </c>
      <c r="AD319" s="4">
        <v>120909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607152</v>
      </c>
      <c r="AJ319" s="4">
        <v>728060</v>
      </c>
      <c r="AK319" s="4">
        <v>848968</v>
      </c>
      <c r="AL319" s="4">
        <v>969876</v>
      </c>
      <c r="AM319" s="4">
        <v>1090784</v>
      </c>
      <c r="AN319" s="4">
        <v>1211693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25185</v>
      </c>
      <c r="I320" s="1">
        <v>0</v>
      </c>
      <c r="J320" s="3">
        <v>8515105</v>
      </c>
      <c r="K320" s="3">
        <v>8489920</v>
      </c>
      <c r="L320" s="3">
        <v>8489920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6633879</v>
      </c>
      <c r="T320" s="3">
        <v>6633879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847313</v>
      </c>
      <c r="Z320" s="3">
        <v>847313</v>
      </c>
      <c r="AA320" s="4">
        <v>847313</v>
      </c>
      <c r="AB320" s="4">
        <v>847313</v>
      </c>
      <c r="AC320" s="4">
        <v>847313</v>
      </c>
      <c r="AD320" s="4">
        <v>847311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4253357</v>
      </c>
      <c r="AJ320" s="4">
        <v>5100670</v>
      </c>
      <c r="AK320" s="4">
        <v>5947983</v>
      </c>
      <c r="AL320" s="4">
        <v>6795296</v>
      </c>
      <c r="AM320" s="4">
        <v>7642609</v>
      </c>
      <c r="AN320" s="4">
        <v>8489920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18593</v>
      </c>
      <c r="I321" s="3">
        <v>0</v>
      </c>
      <c r="J321" s="3">
        <v>6791238</v>
      </c>
      <c r="K321" s="3">
        <v>6772645</v>
      </c>
      <c r="L321" s="3">
        <v>6772645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5384360</v>
      </c>
      <c r="T321" s="3">
        <v>5384360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676025</v>
      </c>
      <c r="Z321" s="3">
        <v>676025</v>
      </c>
      <c r="AA321" s="4">
        <v>676025</v>
      </c>
      <c r="AB321" s="4">
        <v>676025</v>
      </c>
      <c r="AC321" s="4">
        <v>676025</v>
      </c>
      <c r="AD321" s="4">
        <v>676024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3392521</v>
      </c>
      <c r="AJ321" s="4">
        <v>4068546</v>
      </c>
      <c r="AK321" s="4">
        <v>4744571</v>
      </c>
      <c r="AL321" s="4">
        <v>5420596</v>
      </c>
      <c r="AM321" s="4">
        <v>6096621</v>
      </c>
      <c r="AN321" s="4">
        <v>6772645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6900</v>
      </c>
      <c r="I322" s="3">
        <v>110854</v>
      </c>
      <c r="J322" s="3">
        <v>2632682</v>
      </c>
      <c r="K322" s="3">
        <v>2625782</v>
      </c>
      <c r="L322" s="3">
        <v>2514928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1936202</v>
      </c>
      <c r="T322" s="3">
        <v>1825348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262118</v>
      </c>
      <c r="Z322" s="3">
        <v>262118</v>
      </c>
      <c r="AA322" s="4">
        <v>234405</v>
      </c>
      <c r="AB322" s="4">
        <v>234405</v>
      </c>
      <c r="AC322" s="4">
        <v>234405</v>
      </c>
      <c r="AD322" s="4">
        <v>234405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1315190</v>
      </c>
      <c r="AJ322" s="4">
        <v>1577308</v>
      </c>
      <c r="AK322" s="4">
        <v>1811713</v>
      </c>
      <c r="AL322" s="4">
        <v>2046118</v>
      </c>
      <c r="AM322" s="4">
        <v>2280523</v>
      </c>
      <c r="AN322" s="4">
        <v>2514928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37528</v>
      </c>
      <c r="I323" s="1">
        <v>0</v>
      </c>
      <c r="J323" s="3">
        <v>13121261</v>
      </c>
      <c r="K323" s="3">
        <v>13083733</v>
      </c>
      <c r="L323" s="3">
        <v>13083733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10566504</v>
      </c>
      <c r="T323" s="3">
        <v>10566504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1305872</v>
      </c>
      <c r="Z323" s="3">
        <v>1305872</v>
      </c>
      <c r="AA323" s="4">
        <v>1305871</v>
      </c>
      <c r="AB323" s="4">
        <v>1305871</v>
      </c>
      <c r="AC323" s="4">
        <v>1305871</v>
      </c>
      <c r="AD323" s="4">
        <v>1305872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6554376</v>
      </c>
      <c r="AJ323" s="4">
        <v>7860248</v>
      </c>
      <c r="AK323" s="4">
        <v>9166119</v>
      </c>
      <c r="AL323" s="4">
        <v>10471990</v>
      </c>
      <c r="AM323" s="4">
        <v>11777861</v>
      </c>
      <c r="AN323" s="4">
        <v>13083733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11686</v>
      </c>
      <c r="I324" s="3">
        <v>0</v>
      </c>
      <c r="J324" s="3">
        <v>4205699</v>
      </c>
      <c r="K324" s="3">
        <v>4194013</v>
      </c>
      <c r="L324" s="3">
        <v>4194013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3186723</v>
      </c>
      <c r="T324" s="3">
        <v>3186723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418622</v>
      </c>
      <c r="Z324" s="3">
        <v>418622</v>
      </c>
      <c r="AA324" s="4">
        <v>418622</v>
      </c>
      <c r="AB324" s="4">
        <v>418622</v>
      </c>
      <c r="AC324" s="4">
        <v>418622</v>
      </c>
      <c r="AD324" s="4">
        <v>418623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2100902</v>
      </c>
      <c r="AJ324" s="4">
        <v>2519524</v>
      </c>
      <c r="AK324" s="4">
        <v>2938146</v>
      </c>
      <c r="AL324" s="4">
        <v>3356768</v>
      </c>
      <c r="AM324" s="4">
        <v>3775390</v>
      </c>
      <c r="AN324" s="4">
        <v>4194013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11764</v>
      </c>
      <c r="I325" s="1">
        <v>0</v>
      </c>
      <c r="J325" s="3">
        <v>4318584</v>
      </c>
      <c r="K325" s="3">
        <v>4306820</v>
      </c>
      <c r="L325" s="3">
        <v>4306820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3348121</v>
      </c>
      <c r="T325" s="3">
        <v>3348121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429898</v>
      </c>
      <c r="Z325" s="3">
        <v>429898</v>
      </c>
      <c r="AA325" s="4">
        <v>429898</v>
      </c>
      <c r="AB325" s="4">
        <v>429898</v>
      </c>
      <c r="AC325" s="4">
        <v>429898</v>
      </c>
      <c r="AD325" s="4">
        <v>429898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2157330</v>
      </c>
      <c r="AJ325" s="4">
        <v>2587228</v>
      </c>
      <c r="AK325" s="4">
        <v>3017126</v>
      </c>
      <c r="AL325" s="4">
        <v>3447024</v>
      </c>
      <c r="AM325" s="4">
        <v>3876922</v>
      </c>
      <c r="AN325" s="4">
        <v>4306820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25229</v>
      </c>
      <c r="I326" s="1">
        <v>0</v>
      </c>
      <c r="J326" s="3">
        <v>8968022</v>
      </c>
      <c r="K326" s="3">
        <v>8942793</v>
      </c>
      <c r="L326" s="3">
        <v>8942793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7090641</v>
      </c>
      <c r="T326" s="3">
        <v>7090641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892598</v>
      </c>
      <c r="Z326" s="3">
        <v>892598</v>
      </c>
      <c r="AA326" s="4">
        <v>892597</v>
      </c>
      <c r="AB326" s="4">
        <v>892597</v>
      </c>
      <c r="AC326" s="4">
        <v>892597</v>
      </c>
      <c r="AD326" s="4">
        <v>892598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4479806</v>
      </c>
      <c r="AJ326" s="4">
        <v>5372404</v>
      </c>
      <c r="AK326" s="4">
        <v>6265001</v>
      </c>
      <c r="AL326" s="4">
        <v>7157598</v>
      </c>
      <c r="AM326" s="4">
        <v>8050195</v>
      </c>
      <c r="AN326" s="4">
        <v>8942793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10960323</v>
      </c>
      <c r="I327" s="3">
        <f t="shared" si="0"/>
        <v>815860</v>
      </c>
      <c r="J327" s="3">
        <f t="shared" si="0"/>
        <v>3921797726</v>
      </c>
      <c r="K327" s="3">
        <f t="shared" si="0"/>
        <v>3910837403</v>
      </c>
      <c r="L327" s="3">
        <f t="shared" si="0"/>
        <v>3910021543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3100655478</v>
      </c>
      <c r="T327" s="3">
        <f t="shared" si="0"/>
        <v>3099839618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390353064</v>
      </c>
      <c r="Z327" s="3">
        <f t="shared" si="0"/>
        <v>390353064</v>
      </c>
      <c r="AA327" s="3">
        <f t="shared" si="0"/>
        <v>390149097</v>
      </c>
      <c r="AB327" s="3">
        <f t="shared" si="0"/>
        <v>390149097</v>
      </c>
      <c r="AC327" s="3">
        <f t="shared" si="0"/>
        <v>390149097</v>
      </c>
      <c r="AD327" s="3">
        <f t="shared" si="0"/>
        <v>390148952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1959072236</v>
      </c>
      <c r="AJ327" s="3">
        <f t="shared" si="0"/>
        <v>2349425300</v>
      </c>
      <c r="AK327" s="3">
        <f t="shared" si="0"/>
        <v>2739574397</v>
      </c>
      <c r="AL327" s="3">
        <f t="shared" si="0"/>
        <v>3129723494</v>
      </c>
      <c r="AM327" s="3">
        <f t="shared" si="0"/>
        <v>3519872591</v>
      </c>
      <c r="AN327" s="3">
        <f t="shared" si="0"/>
        <v>3910021543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1"/>
  <sheetViews>
    <sheetView workbookViewId="0">
      <selection activeCell="C31" sqref="C31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708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5" x14ac:dyDescent="0.2">
      <c r="A17" s="1" t="s">
        <v>730</v>
      </c>
      <c r="B17" s="3">
        <f>SUM('Budget by Source'!C331:J331)-'Budget by Source'!K331</f>
        <v>0</v>
      </c>
    </row>
    <row r="18" spans="1:5" x14ac:dyDescent="0.2">
      <c r="A18" s="6" t="s">
        <v>733</v>
      </c>
      <c r="B18" s="3">
        <f>'Payment by Source'!K331-'Payment Total'!F332</f>
        <v>0</v>
      </c>
      <c r="C18" s="1" t="s">
        <v>758</v>
      </c>
    </row>
    <row r="19" spans="1:5" x14ac:dyDescent="0.2">
      <c r="A19" s="7" t="s">
        <v>739</v>
      </c>
      <c r="B19" s="3">
        <f>'Payment Total'!Q332-'Payment Total'!F332</f>
        <v>0</v>
      </c>
      <c r="C19" s="1" t="s">
        <v>758</v>
      </c>
    </row>
    <row r="20" spans="1:5" x14ac:dyDescent="0.2">
      <c r="A20" s="7" t="s">
        <v>1152</v>
      </c>
      <c r="B20" s="3">
        <f>C20-'Budget Total'!C331</f>
        <v>0</v>
      </c>
      <c r="C20" s="3">
        <v>3927914974</v>
      </c>
    </row>
    <row r="21" spans="1:5" x14ac:dyDescent="0.2">
      <c r="A21" s="6" t="s">
        <v>749</v>
      </c>
      <c r="B21" s="3">
        <f>SUM('Payment Total'!$N$7:$N$331)</f>
        <v>0</v>
      </c>
    </row>
    <row r="22" spans="1:5" x14ac:dyDescent="0.2">
      <c r="A22" s="6" t="s">
        <v>750</v>
      </c>
      <c r="B22" s="56">
        <f>SUM('Payment Total'!$T$7:$T$331,'Payment Total'!$V$7:$V$331)</f>
        <v>0</v>
      </c>
    </row>
    <row r="23" spans="1:5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5" x14ac:dyDescent="0.2">
      <c r="A24" s="6" t="s">
        <v>752</v>
      </c>
      <c r="B24" s="3">
        <f>'Budget Total'!H331-SUM('Payment Total'!G332,'Payment Total'!H332)</f>
        <v>0</v>
      </c>
    </row>
    <row r="25" spans="1:5" x14ac:dyDescent="0.2">
      <c r="A25" s="6" t="s">
        <v>795</v>
      </c>
      <c r="B25" s="3">
        <f>C25-'Budget Total'!D331</f>
        <v>0</v>
      </c>
      <c r="C25" s="3">
        <v>378490</v>
      </c>
    </row>
    <row r="26" spans="1:5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5" x14ac:dyDescent="0.2">
      <c r="A27" s="6" t="s">
        <v>796</v>
      </c>
      <c r="B27" s="147">
        <f>C27-'Budget Total'!F331</f>
        <v>-0.89999999478459358</v>
      </c>
      <c r="C27" s="147">
        <v>10960322.100000005</v>
      </c>
      <c r="D27" s="148" t="s">
        <v>797</v>
      </c>
    </row>
    <row r="28" spans="1:5" x14ac:dyDescent="0.2">
      <c r="A28" s="6" t="s">
        <v>798</v>
      </c>
      <c r="B28" s="147">
        <f>MIN('Payment by Source'!$K$6:$K$330)</f>
        <v>56153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5" x14ac:dyDescent="0.2">
      <c r="A29" s="6" t="s">
        <v>800</v>
      </c>
      <c r="B29" s="147">
        <f>C29-'Budget Total'!G331</f>
        <v>0</v>
      </c>
      <c r="C29" s="147">
        <v>815860</v>
      </c>
      <c r="D29" s="147"/>
    </row>
    <row r="30" spans="1:5" x14ac:dyDescent="0.2">
      <c r="A30" s="6" t="s">
        <v>1762</v>
      </c>
      <c r="B30" s="147">
        <f>D30+C30</f>
        <v>-8</v>
      </c>
      <c r="C30" s="147">
        <f>C29</f>
        <v>815860</v>
      </c>
      <c r="D30" s="147">
        <f>('Payment Total'!E332-'Payment Total'!D332)*4</f>
        <v>-815868</v>
      </c>
      <c r="E30" s="148" t="s">
        <v>797</v>
      </c>
    </row>
    <row r="31" spans="1:5" x14ac:dyDescent="0.2">
      <c r="A31" s="6" t="s">
        <v>818</v>
      </c>
      <c r="B31" s="147">
        <f>COUNTIF(SpecialEdDeficit!$E$3:$E$327,"&gt;0")-C31</f>
        <v>0</v>
      </c>
      <c r="C31" s="147">
        <v>309</v>
      </c>
      <c r="D31" s="147" t="s">
        <v>819</v>
      </c>
    </row>
    <row r="32" spans="1:5" x14ac:dyDescent="0.2">
      <c r="A32" s="6"/>
    </row>
    <row r="33" spans="1:2" x14ac:dyDescent="0.2">
      <c r="A33" s="6" t="s">
        <v>741</v>
      </c>
    </row>
    <row r="34" spans="1:2" x14ac:dyDescent="0.2">
      <c r="A34" s="6" t="s">
        <v>784</v>
      </c>
    </row>
    <row r="35" spans="1:2" x14ac:dyDescent="0.2">
      <c r="A35" s="6"/>
    </row>
    <row r="36" spans="1:2" x14ac:dyDescent="0.2">
      <c r="A36" s="6"/>
    </row>
    <row r="37" spans="1:2" x14ac:dyDescent="0.2">
      <c r="A37" s="61" t="s">
        <v>773</v>
      </c>
      <c r="B37" s="61" t="s">
        <v>774</v>
      </c>
    </row>
    <row r="38" spans="1:2" x14ac:dyDescent="0.2">
      <c r="A38" s="175" t="str">
        <f>_xlfn.CONCAT("9/",B38,"/",$B$1-1)</f>
        <v>9/18/2025</v>
      </c>
      <c r="B38" s="61">
        <v>18</v>
      </c>
    </row>
    <row r="39" spans="1:2" x14ac:dyDescent="0.2">
      <c r="A39" s="175" t="str">
        <f>_xlfn.CONCAT("10/",B39,"/",$B$1-1)</f>
        <v>10/17/2025</v>
      </c>
      <c r="B39" s="61">
        <v>17</v>
      </c>
    </row>
    <row r="40" spans="1:2" x14ac:dyDescent="0.2">
      <c r="A40" s="175" t="str">
        <f>_xlfn.CONCAT("11/",B40,"/",$B$1-1)</f>
        <v>11/19/2025</v>
      </c>
      <c r="B40" s="61">
        <v>19</v>
      </c>
    </row>
    <row r="41" spans="1:2" x14ac:dyDescent="0.2">
      <c r="A41" s="175" t="str">
        <f>_xlfn.CONCAT("12/",B41,"/",$B$1-1)</f>
        <v>12/18/2025</v>
      </c>
      <c r="B41" s="61">
        <v>18</v>
      </c>
    </row>
    <row r="42" spans="1:2" x14ac:dyDescent="0.2">
      <c r="A42" s="175" t="str">
        <f>_xlfn.CONCAT("1/",B42,"/",$B$1)</f>
        <v>1/17/2026</v>
      </c>
      <c r="B42" s="61">
        <v>17</v>
      </c>
    </row>
    <row r="43" spans="1:2" x14ac:dyDescent="0.2">
      <c r="A43" s="175" t="str">
        <f>_xlfn.CONCAT("2/",B43,"/",$B$1)</f>
        <v>2/20/2026</v>
      </c>
      <c r="B43" s="61">
        <v>20</v>
      </c>
    </row>
    <row r="44" spans="1:2" x14ac:dyDescent="0.2">
      <c r="A44" s="175" t="str">
        <f>_xlfn.CONCAT("3/",B44,"/",$B$1)</f>
        <v>3/19/2026</v>
      </c>
      <c r="B44" s="61">
        <v>19</v>
      </c>
    </row>
    <row r="45" spans="1:2" x14ac:dyDescent="0.2">
      <c r="A45" s="175" t="str">
        <f>_xlfn.CONCAT("4/",B45,"/",$B$1)</f>
        <v>4/17/2026</v>
      </c>
      <c r="B45" s="61">
        <v>17</v>
      </c>
    </row>
    <row r="46" spans="1:2" x14ac:dyDescent="0.2">
      <c r="A46" s="175" t="str">
        <f>_xlfn.CONCAT("5/",B46,"/",$B$1)</f>
        <v>5/19/2026</v>
      </c>
      <c r="B46" s="61">
        <v>19</v>
      </c>
    </row>
    <row r="47" spans="1:2" x14ac:dyDescent="0.2">
      <c r="A47" s="175" t="str">
        <f>_xlfn.CONCAT("6/",B47,"/",$B$1)</f>
        <v>6/18/2026</v>
      </c>
      <c r="B47" s="61">
        <v>18</v>
      </c>
    </row>
    <row r="48" spans="1:2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06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AEA Funding and Payments</vt:lpstr>
      <vt:lpstr>AEA Coding</vt:lpstr>
      <vt:lpstr>Data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2026-06-11T16:18:46Z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