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657C116F-E643-42B4-8571-1D46F3D35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" sheetId="8" r:id="rId5"/>
    <sheet name="Receipts by MO" sheetId="9" r:id="rId6"/>
    <sheet name="Expenditures All" sheetId="10" state="hidden" r:id="rId7"/>
    <sheet name="Expenditures" sheetId="12" r:id="rId8"/>
    <sheet name="Obligations vs Bgt" sheetId="11" r:id="rId9"/>
    <sheet name="9500 BOEE" sheetId="15" r:id="rId10"/>
    <sheet name="Expenditures Graph Data" sheetId="13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10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10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V3" i="15"/>
  <c r="R22" i="15" l="1"/>
  <c r="I22" i="15"/>
  <c r="K22" i="15"/>
  <c r="J22" i="15"/>
  <c r="O22" i="15"/>
  <c r="F22" i="15"/>
  <c r="U24" i="15"/>
  <c r="M22" i="15"/>
  <c r="E22" i="15"/>
  <c r="H22" i="15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Q50" i="9" l="1"/>
  <c r="R50" i="9"/>
  <c r="K48" i="9"/>
  <c r="K50" i="9" s="1"/>
  <c r="E50" i="9"/>
  <c r="E24" i="15"/>
  <c r="F24" i="15" s="1"/>
  <c r="S22" i="15"/>
  <c r="G24" i="15"/>
  <c r="H24" i="15" s="1"/>
  <c r="I24" i="15" s="1"/>
  <c r="J24" i="15" s="1"/>
  <c r="K24" i="15" s="1"/>
  <c r="L24" i="15" s="1"/>
  <c r="M24" i="15" s="1"/>
  <c r="N50" i="9"/>
  <c r="P50" i="9"/>
  <c r="O50" i="9"/>
  <c r="M50" i="9"/>
  <c r="L50" i="9"/>
  <c r="H50" i="9"/>
  <c r="G50" i="9"/>
  <c r="S48" i="9"/>
  <c r="F50" i="9"/>
  <c r="S43" i="9"/>
  <c r="D43" i="9"/>
  <c r="D50" i="9" s="1"/>
  <c r="S50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W71" i="3" l="1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N9" i="15" s="1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N11" i="15" l="1"/>
  <c r="N22" i="15" s="1"/>
  <c r="N24" i="15" s="1"/>
  <c r="O24" i="15" s="1"/>
  <c r="P24" i="15" s="1"/>
  <c r="T9" i="15"/>
  <c r="J33" i="14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W9" i="15" l="1"/>
  <c r="T11" i="15"/>
  <c r="P33" i="14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W11" i="15" l="1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M11" i="9"/>
  <c r="N11" i="9"/>
  <c r="O11" i="9"/>
  <c r="P11" i="9"/>
  <c r="Q11" i="9"/>
  <c r="R11" i="9"/>
  <c r="F12" i="9"/>
  <c r="I12" i="9"/>
  <c r="J12" i="9"/>
  <c r="K12" i="9"/>
  <c r="M12" i="9"/>
  <c r="Q12" i="9"/>
  <c r="R12" i="9"/>
  <c r="E14" i="9"/>
  <c r="F14" i="9"/>
  <c r="G14" i="9"/>
  <c r="H14" i="9"/>
  <c r="I14" i="9"/>
  <c r="J14" i="9"/>
  <c r="K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S11" i="7" s="1"/>
  <c r="R2" i="7"/>
  <c r="R11" i="7" s="1"/>
  <c r="Q2" i="7"/>
  <c r="Q11" i="7" s="1"/>
  <c r="P2" i="7"/>
  <c r="P11" i="7" s="1"/>
  <c r="O2" i="7"/>
  <c r="O11" i="7" s="1"/>
  <c r="N2" i="7"/>
  <c r="N11" i="7" s="1"/>
  <c r="M2" i="7"/>
  <c r="M11" i="7" s="1"/>
  <c r="L2" i="7"/>
  <c r="K2" i="7"/>
  <c r="J2" i="7"/>
  <c r="J12" i="7" s="1"/>
  <c r="I2" i="7"/>
  <c r="H2" i="7"/>
  <c r="G2" i="7"/>
  <c r="F2" i="7"/>
  <c r="T1" i="7"/>
  <c r="T11" i="7" l="1"/>
  <c r="Q19" i="7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4" i="15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Q19" i="15" l="1"/>
  <c r="Q22" i="15" s="1"/>
  <c r="Q24" i="15" s="1"/>
  <c r="R24" i="15" s="1"/>
  <c r="T14" i="15"/>
  <c r="T21" i="7"/>
  <c r="W14" i="15" l="1"/>
  <c r="T19" i="15"/>
  <c r="V71" i="3"/>
  <c r="W19" i="15" l="1"/>
  <c r="T22" i="15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<sst xmlns="http://schemas.openxmlformats.org/spreadsheetml/2006/main" count="970" uniqueCount="366">
  <si>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</si>
  <si>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</si>
  <si>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</si>
  <si>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</si>
  <si>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</si>
  <si>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</si>
  <si>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</si>
  <si>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</si>
  <si>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</si>
  <si>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</si>
  <si>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</si>
  <si>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</si>
  <si>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</si>
  <si>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</si>
  <si>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</si>
  <si>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</si>
  <si>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</si>
  <si>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</si>
  <si>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</si>
  <si>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</si>
  <si>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</si>
  <si>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</si>
  <si>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</si>
  <si>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</si>
  <si>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</si>
  <si>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</si>
  <si>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</si>
  <si>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</si>
  <si>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</si>
  <si>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</si>
  <si>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</si>
  <si>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</si>
  <si>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</si>
  <si>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</si>
  <si>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</si>
  <si>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</si>
  <si>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</si>
  <si>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</si>
  <si>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</si>
  <si>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</si>
  <si>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</si>
  <si>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</si>
  <si>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</si>
  <si>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</si>
  <si>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</si>
  <si>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</si>
  <si>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</si>
  <si>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</si>
  <si>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</si>
  <si>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</si>
  <si>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</si>
  <si>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</si>
  <si>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</si>
  <si>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</si>
  <si>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</si>
  <si>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</si>
  <si>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</si>
  <si>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</si>
  <si>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</si>
  <si>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</si>
  <si>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</si>
  <si>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</si>
  <si>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</si>
  <si>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</si>
  <si>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</si>
  <si>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</si>
  <si>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</si>
  <si>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</si>
  <si>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</si>
  <si>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</si>
  <si>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</si>
  <si>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</si>
  <si>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</si>
  <si>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</si>
  <si>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</si>
  <si>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</si>
  <si>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</si>
  <si>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</si>
  <si>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</si>
  <si>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</si>
  <si>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</si>
  <si>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</si>
  <si>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</si>
  <si>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</si>
  <si>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</si>
  <si>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</si>
  <si>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</si>
  <si>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</si>
  <si>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</si>
  <si>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</si>
  <si>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</si>
  <si>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</si>
  <si>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</si>
  <si>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</si>
  <si>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</si>
  <si>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</si>
  <si>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</si>
  <si>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</si>
  <si>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</si>
  <si>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</si>
  <si>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</si>
  <si>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</si>
  <si>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</si>
  <si>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</si>
  <si>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</si>
  <si>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</si>
  <si>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</si>
  <si>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</si>
  <si>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</si>
  <si>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</si>
  <si>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</si>
  <si>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</si>
  <si>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</si>
  <si>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</si>
  <si>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</si>
  <si>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</si>
  <si>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</si>
  <si>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</si>
  <si>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</si>
  <si>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</si>
  <si>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</si>
  <si>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</si>
  <si>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</si>
  <si>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</si>
  <si>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</si>
  <si>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</si>
  <si>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</si>
  <si>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</si>
  <si>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</si>
  <si>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</si>
  <si>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</si>
  <si>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</si>
  <si>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</si>
  <si>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</si>
  <si>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</si>
  <si>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</si>
  <si>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</si>
  <si>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</si>
  <si>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</si>
  <si>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</si>
  <si>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</si>
  <si>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</si>
  <si>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</si>
  <si>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</si>
  <si>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</si>
  <si>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</si>
  <si>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</si>
  <si>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</si>
  <si>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</si>
  <si>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</si>
  <si>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</si>
  <si>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</si>
  <si>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</si>
  <si>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</si>
  <si>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</si>
  <si>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</si>
  <si>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</si>
  <si>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</si>
  <si>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</si>
  <si>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</si>
  <si>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</si>
  <si>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</si>
  <si>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</si>
  <si>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</si>
  <si>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</si>
  <si>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</si>
  <si>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</si>
  <si>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</si>
  <si>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</si>
  <si>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</si>
  <si>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</si>
  <si>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</si>
  <si>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</si>
  <si>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</si>
  <si>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</si>
  <si>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</si>
  <si>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</si>
  <si>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</si>
  <si>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</si>
  <si>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</si>
  <si>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</si>
  <si>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</si>
  <si>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</si>
  <si>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</si>
  <si>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</si>
  <si>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</si>
  <si>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</si>
  <si>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</si>
  <si>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</si>
  <si>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</si>
  <si>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</si>
  <si>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</si>
  <si>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</si>
  <si>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</si>
  <si>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</si>
  <si>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</si>
  <si>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</si>
  <si>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</si>
  <si>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</si>
  <si>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</si>
  <si>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</si>
  <si>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</si>
  <si>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</si>
  <si>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</si>
  <si>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</si>
  <si>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</si>
  <si>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</si>
  <si>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</si>
  <si>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</si>
  <si>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</si>
  <si>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</si>
  <si>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</si>
  <si>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</si>
  <si>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</si>
  <si>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</si>
  <si>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</si>
  <si>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</si>
  <si>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</si>
  <si>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</si>
  <si>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</si>
  <si>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</si>
  <si>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</si>
  <si>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</si>
  <si>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</si>
  <si>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</si>
  <si>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</si>
  <si>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</si>
  <si>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</si>
  <si>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</si>
  <si>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</si>
  <si>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</si>
  <si>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</si>
  <si>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</si>
  <si>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</si>
  <si>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</si>
  <si>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</si>
  <si>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</si>
  <si>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</si>
  <si>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</si>
  <si>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</si>
  <si>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</si>
  <si>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</si>
  <si>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</si>
  <si>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</si>
  <si>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</si>
  <si>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</si>
  <si>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</si>
  <si>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</si>
  <si>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</si>
  <si>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</si>
  <si>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</si>
  <si>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</si>
  <si>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</si>
  <si>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</si>
  <si>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</si>
  <si>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</si>
  <si>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</si>
  <si>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</si>
  <si>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</si>
  <si>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</si>
  <si>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</si>
  <si>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</si>
  <si>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105257 00121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</si>
  <si>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</si>
  <si>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</si>
  <si>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</si>
  <si>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</si>
  <si>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</si>
  <si>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</si>
  <si>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</si>
  <si>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</si>
  <si>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</si>
  <si>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</si>
  <si>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</si>
  <si>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</si>
  <si>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</si>
  <si>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</si>
  <si>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</si>
  <si>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</si>
  <si>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</si>
  <si>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</si>
  <si>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</si>
  <si>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</si>
  <si>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</si>
  <si>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</si>
  <si>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</si>
  <si>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</si>
  <si>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</si>
  <si>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</si>
  <si>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</si>
  <si>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</si>
  <si>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</si>
  <si>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</si>
  <si>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</si>
  <si>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</si>
  <si>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</si>
  <si>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</si>
  <si>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</si>
  <si>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</si>
  <si>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</si>
  <si>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</si>
  <si>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</si>
  <si>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</si>
  <si>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</si>
  <si>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</si>
  <si>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</si>
  <si>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</si>
  <si>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</si>
  <si>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</si>
  <si>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</si>
  <si>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</si>
  <si>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</si>
  <si>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</si>
  <si>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</si>
  <si>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</si>
  <si>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</si>
  <si>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</si>
  <si>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</si>
  <si>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</si>
  <si>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</si>
  <si>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</si>
  <si>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</si>
  <si>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</si>
  <si>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</si>
  <si>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</si>
  <si>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</si>
  <si>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</si>
  <si>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</si>
  <si>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</si>
  <si>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</si>
  <si>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</si>
  <si>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</si>
  <si>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</si>
  <si>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</si>
  <si>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</si>
  <si>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</si>
  <si>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</si>
  <si>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</si>
  <si>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</si>
  <si>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</si>
  <si>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</si>
  <si>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</si>
  <si>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</si>
  <si>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</si>
  <si>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</si>
  <si>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</si>
  <si>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</si>
  <si>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</si>
  <si>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</si>
  <si>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</si>
  <si>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</si>
  <si>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</si>
  <si>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 and Flexable Spending Pgm ($3.50/mo/ee)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</si>
  <si>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55,000.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</si>
  <si>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 CDE to next FY.</t>
    </r>
  </si>
  <si>
    <t>Period 10- April 2026</t>
  </si>
  <si>
    <t>*NOTE- This excel sheet rounds so the extra $.99 is the extra 1%.</t>
  </si>
  <si>
    <t>Vacant</t>
  </si>
  <si>
    <t>105256 00026</t>
  </si>
  <si>
    <t>Admin Support Asst 3</t>
  </si>
  <si>
    <t>105255 00026</t>
  </si>
  <si>
    <t>142330 00026</t>
  </si>
  <si>
    <t>Info Tech Specialist 4 (DOM)</t>
  </si>
  <si>
    <t>Admin Support Asst 4</t>
  </si>
  <si>
    <t>105254 00026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</si>
  <si>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Old location rent will end Oct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</si>
</sst>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103255.5</c:v>
                </c:pt>
                <c:pt idx="6">
                  <c:v>128347.75</c:v>
                </c:pt>
                <c:pt idx="7">
                  <c:v>117208.25</c:v>
                </c:pt>
                <c:pt idx="8">
                  <c:v>124020.75</c:v>
                </c:pt>
                <c:pt idx="9">
                  <c:v>125117.25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38215</c:v>
                </c:pt>
                <c:pt idx="6">
                  <c:v>47280</c:v>
                </c:pt>
                <c:pt idx="7">
                  <c:v>45550</c:v>
                </c:pt>
                <c:pt idx="8">
                  <c:v>42960</c:v>
                </c:pt>
                <c:pt idx="9">
                  <c:v>42805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1383541.83</c:v>
                </c:pt>
                <c:pt idx="1">
                  <c:v>10477.689999999999</c:v>
                </c:pt>
                <c:pt idx="2">
                  <c:v>3111.6</c:v>
                </c:pt>
                <c:pt idx="3">
                  <c:v>7136.3600000000006</c:v>
                </c:pt>
                <c:pt idx="4">
                  <c:v>0</c:v>
                </c:pt>
                <c:pt idx="5">
                  <c:v>0</c:v>
                </c:pt>
                <c:pt idx="6">
                  <c:v>172.75</c:v>
                </c:pt>
                <c:pt idx="7">
                  <c:v>0</c:v>
                </c:pt>
                <c:pt idx="8">
                  <c:v>3978.8550000000005</c:v>
                </c:pt>
                <c:pt idx="9">
                  <c:v>10748.400000000001</c:v>
                </c:pt>
                <c:pt idx="10">
                  <c:v>47250</c:v>
                </c:pt>
                <c:pt idx="11">
                  <c:v>2173.6099999999997</c:v>
                </c:pt>
                <c:pt idx="12">
                  <c:v>682.72</c:v>
                </c:pt>
                <c:pt idx="13">
                  <c:v>3531.3</c:v>
                </c:pt>
                <c:pt idx="14">
                  <c:v>0</c:v>
                </c:pt>
                <c:pt idx="15">
                  <c:v>315.79000000000002</c:v>
                </c:pt>
                <c:pt idx="16">
                  <c:v>3400.3800000000006</c:v>
                </c:pt>
                <c:pt idx="17">
                  <c:v>319351.49000000005</c:v>
                </c:pt>
                <c:pt idx="18">
                  <c:v>0</c:v>
                </c:pt>
                <c:pt idx="19">
                  <c:v>298410.51</c:v>
                </c:pt>
                <c:pt idx="20">
                  <c:v>0</c:v>
                </c:pt>
                <c:pt idx="21">
                  <c:v>0</c:v>
                </c:pt>
                <c:pt idx="22">
                  <c:v>189.99</c:v>
                </c:pt>
                <c:pt idx="23">
                  <c:v>381.05</c:v>
                </c:pt>
                <c:pt idx="24">
                  <c:v>24718.93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In State Travel</c:v>
                </c:pt>
                <c:pt idx="7">
                  <c:v>Office Supplies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1383541.83</c:v>
                </c:pt>
                <c:pt idx="1">
                  <c:v>319351.49000000005</c:v>
                </c:pt>
                <c:pt idx="2">
                  <c:v>298410.51</c:v>
                </c:pt>
                <c:pt idx="3">
                  <c:v>47250</c:v>
                </c:pt>
                <c:pt idx="4">
                  <c:v>24718.93</c:v>
                </c:pt>
                <c:pt idx="5">
                  <c:v>10748.400000000001</c:v>
                </c:pt>
                <c:pt idx="6">
                  <c:v>10477.689999999999</c:v>
                </c:pt>
                <c:pt idx="7">
                  <c:v>7136.3600000000006</c:v>
                </c:pt>
                <c:pt idx="8">
                  <c:v>18958.045000000391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607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607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284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249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69" t="s">
        <v>326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46143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335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355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07">
        <f>'9397 BOEE'!P53</f>
        <v>654199.83499999973</v>
      </c>
      <c r="F19" s="407">
        <v>754200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08">
        <f>SUM(D19:D19)</f>
        <v>654199.83499999973</v>
      </c>
      <c r="E20" s="409"/>
      <c r="F20" s="408">
        <f>SUM(F19:F19)</f>
        <v>754200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334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345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347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338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0" t="s">
        <v>318</v>
      </c>
      <c r="C48" s="14"/>
      <c r="D48" s="411" t="s">
        <v>319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280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289</v>
      </c>
      <c r="B11" s="258" t="s">
        <v>300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295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302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273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279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278</v>
      </c>
      <c r="B20" s="255" t="s">
        <v>287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2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25">
      <c r="D25" s="327">
        <f>SUM(D23:D24)</f>
        <v>1.3254299999999999</v>
      </c>
      <c r="E25" s="327">
        <f>SUM(E23:E24)</f>
        <v>1</v>
      </c>
    </row>
    <row r="27" spans="1:22" x14ac:dyDescent="0.25">
      <c r="E27" s="328"/>
      <c r="F27" s="329"/>
    </row>
    <row r="28" spans="1:22" x14ac:dyDescent="0.2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98.75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3178.75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103255.5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128347.75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117208.25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124020.75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1305448.25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38215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47280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45550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42960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437545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141470.5</v>
      </c>
      <c r="J17" s="101">
        <f t="shared" si="7"/>
        <v>175627.75</v>
      </c>
      <c r="K17" s="101">
        <f t="shared" si="7"/>
        <v>162758.25</v>
      </c>
      <c r="L17" s="101">
        <f t="shared" si="7"/>
        <v>167079.5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1746172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135423.46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135634.06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134894.04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201645.57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1383541.83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999.94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515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939.74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1558.3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10477.689999999999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867.5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3111.6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66.3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375.57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7136.3600000000006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172.75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172.75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3311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433.98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310.88499999999999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404.54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324.3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3978.8550000000005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2125.58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830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1443.62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830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10748.400000000001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47250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161.47999999999999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322.95999999999998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682.72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410.29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383.5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373.5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160.35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3531.3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95.49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315.79000000000002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986.82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73.819999999999993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-556.42999999999995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992.32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3400.3800000000006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14139.98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9699.75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38097.040000000001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14210.28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319351.49000000005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4583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70809.62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18179.52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50100.75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18216.189999999999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298410.51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189.99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189</v>
      </c>
      <c r="V45" s="71">
        <f t="shared" si="9"/>
        <v>0</v>
      </c>
      <c r="W45" s="71" t="e">
        <f t="shared" si="10"/>
        <v>#VALUE!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216.97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381.05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3006.1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2267.84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2171.61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3332.58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24718.93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85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440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1020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229364.75000000003</v>
      </c>
      <c r="J50" s="101">
        <f t="shared" si="25"/>
        <v>178545.67499999999</v>
      </c>
      <c r="K50" s="101">
        <f t="shared" si="25"/>
        <v>234569.4</v>
      </c>
      <c r="L50" s="101">
        <f t="shared" si="25"/>
        <v>246692.63999999998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70986.58</v>
      </c>
      <c r="Q50" s="101">
        <f t="shared" si="25"/>
        <v>0</v>
      </c>
      <c r="R50" s="101">
        <f t="shared" si="25"/>
        <v>0</v>
      </c>
      <c r="S50" s="101">
        <f t="shared" si="25"/>
        <v>2118419.645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-87894.250000000029</v>
      </c>
      <c r="J52" s="101">
        <f t="shared" si="26"/>
        <v>-2917.9249999999884</v>
      </c>
      <c r="K52" s="101">
        <f t="shared" si="26"/>
        <v>-71811.149999999994</v>
      </c>
      <c r="L52" s="101">
        <f t="shared" si="26"/>
        <v>-79613.139999999985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-70986.58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-77103.550000000076</v>
      </c>
      <c r="J53" s="130">
        <f t="shared" si="27"/>
        <v>-80021.475000000064</v>
      </c>
      <c r="K53" s="130">
        <f t="shared" ref="K53" si="28">J53+K52</f>
        <v>-151832.62500000006</v>
      </c>
      <c r="L53" s="130">
        <f t="shared" ref="L53" si="29">K53+L52</f>
        <v>-231445.76500000004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346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303</v>
      </c>
      <c r="V2" s="67" t="s">
        <v>317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0.83333333333333337</v>
      </c>
      <c r="W3" s="48"/>
    </row>
    <row r="4" spans="1:28" s="1" customFormat="1" ht="18" customHeight="1" x14ac:dyDescent="0.25">
      <c r="A4" s="47" t="s">
        <v>9</v>
      </c>
      <c r="B4" s="47" t="s">
        <v>285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336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305</v>
      </c>
      <c r="U6" s="53" t="s">
        <v>306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-654200</v>
      </c>
      <c r="R9" s="195"/>
      <c r="S9" s="415">
        <f>SUMIF($D$6:$R$6,$X$2,D9:R9)</f>
        <v>0</v>
      </c>
      <c r="T9" s="414">
        <f>SUM(D9:R9)</f>
        <v>-754200</v>
      </c>
      <c r="U9" s="379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98.75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3178.75</v>
      </c>
      <c r="T11" s="70">
        <f>SUM(D11:R11)</f>
        <v>3178.75</v>
      </c>
      <c r="U11" s="70">
        <v>500</v>
      </c>
      <c r="V11" s="199">
        <f>IF(U11=0,0,SUMIF($D$6:$R$6,$X$2,D11:R11)/U11)</f>
        <v>6.3574999999999999</v>
      </c>
      <c r="W11" s="199">
        <f>IF(U11=0,0,T11/U11)</f>
        <v>6.3574999999999999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103255.5</v>
      </c>
      <c r="J12" s="198">
        <v>128347.75</v>
      </c>
      <c r="K12" s="198">
        <v>117208.25</v>
      </c>
      <c r="L12" s="198">
        <v>124020.75</v>
      </c>
      <c r="M12" s="198">
        <v>125117.25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1305448.25</v>
      </c>
      <c r="T12" s="70">
        <f>SUM(D12:R12)</f>
        <v>1703448.25</v>
      </c>
      <c r="U12" s="70">
        <v>1800000</v>
      </c>
      <c r="V12" s="199">
        <f>IF(U12=0,0,SUMIF($D$6:$R$6,$X$2,D12:R12)/U12)</f>
        <v>0.72524902777777778</v>
      </c>
      <c r="W12" s="199">
        <f>IF(U12=0,0,T12/U12)</f>
        <v>0.94636013888888892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38215</v>
      </c>
      <c r="J14" s="198">
        <v>47280</v>
      </c>
      <c r="K14" s="198">
        <v>45550</v>
      </c>
      <c r="L14" s="198">
        <v>42960</v>
      </c>
      <c r="M14" s="198">
        <v>42805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437545</v>
      </c>
      <c r="T14" s="70">
        <f>SUM(D14:R14)</f>
        <v>544045</v>
      </c>
      <c r="U14" s="70">
        <v>590000</v>
      </c>
      <c r="V14" s="199">
        <f>IF(U14=0,0,SUMIF($D$6:$R$6,$X$2,D14:R14)/U14)</f>
        <v>0.74160169491525418</v>
      </c>
      <c r="W14" s="199">
        <f>IF(U14=0,0,T14/U14)</f>
        <v>0.92211016949152547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141470.5</v>
      </c>
      <c r="J16" s="91">
        <f t="shared" si="0"/>
        <v>175627.75</v>
      </c>
      <c r="K16" s="91">
        <f t="shared" si="0"/>
        <v>162758.25</v>
      </c>
      <c r="L16" s="91">
        <f t="shared" si="0"/>
        <v>167079.5</v>
      </c>
      <c r="M16" s="91">
        <f t="shared" si="0"/>
        <v>167922.25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-654200</v>
      </c>
      <c r="R16" s="201">
        <f>SUM(R8:R15)</f>
        <v>0</v>
      </c>
      <c r="S16" s="201">
        <f t="shared" ref="S16:U16" si="1">SUM(S8:S15)</f>
        <v>2775172.07</v>
      </c>
      <c r="T16" s="91">
        <f t="shared" si="1"/>
        <v>2525472.0699999998</v>
      </c>
      <c r="U16" s="91">
        <f t="shared" si="1"/>
        <v>2862962</v>
      </c>
      <c r="V16" s="202">
        <f>SUMIF($D$6:$R$6,$X$2,D16:R16)/U16</f>
        <v>0.9693359779137829</v>
      </c>
      <c r="W16" s="202">
        <f>T16/U16</f>
        <v>0.88211861351984411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135423.46</v>
      </c>
      <c r="J19" s="70">
        <v>135634.06</v>
      </c>
      <c r="K19" s="70">
        <v>134894.04</v>
      </c>
      <c r="L19" s="70">
        <v>201645.57</v>
      </c>
      <c r="M19" s="70">
        <v>141935.65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1383541.83</v>
      </c>
      <c r="T19" s="70">
        <f t="shared" ref="T19:T42" si="3">SUM(D19:R19)</f>
        <v>1717674.81</v>
      </c>
      <c r="U19" s="70">
        <v>1774366</v>
      </c>
      <c r="V19" s="199">
        <f>IF(U19=0,0,SUMIF($D$6:$R$6,$X$2,D19:R19)/U19)</f>
        <v>0.77973869539880725</v>
      </c>
      <c r="W19" s="199">
        <f>IF(U19=0,0,T19/U19)</f>
        <v>0.96804988936893521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999.94</v>
      </c>
      <c r="J20" s="198">
        <v>515</v>
      </c>
      <c r="K20" s="198">
        <v>939.74</v>
      </c>
      <c r="L20" s="198">
        <v>1558.3</v>
      </c>
      <c r="M20" s="198">
        <v>1751.5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10477.689999999999</v>
      </c>
      <c r="T20" s="70">
        <f t="shared" si="3"/>
        <v>10477.689999999999</v>
      </c>
      <c r="U20" s="198">
        <v>15000</v>
      </c>
      <c r="V20" s="199">
        <f t="shared" ref="V20:V42" si="4">IF(U20=0,0,SUMIF($D$6:$R$6,$X$2,D20:R20)/U20)</f>
        <v>0.69851266666666656</v>
      </c>
      <c r="W20" s="199">
        <f t="shared" ref="W20:W42" si="5">IF(U20=0,0,T20/U20)</f>
        <v>0.69851266666666656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867.5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3111.6</v>
      </c>
      <c r="T21" s="70">
        <f t="shared" ref="T21" si="7">SUM(D21:R21)</f>
        <v>3111.6</v>
      </c>
      <c r="U21" s="198">
        <v>20000</v>
      </c>
      <c r="V21" s="199">
        <f t="shared" ref="V21" si="8">IF(U21=0,0,SUMIF($D$6:$R$6,$X$2,D21:R21)/U21)</f>
        <v>0.15558</v>
      </c>
      <c r="W21" s="199">
        <f t="shared" ref="W21" si="9">IF(U21=0,0,T21/U21)</f>
        <v>0.15558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66.3</v>
      </c>
      <c r="K22" s="70">
        <v>375.57</v>
      </c>
      <c r="L22" s="70">
        <v>0</v>
      </c>
      <c r="M22" s="70">
        <v>119</v>
      </c>
      <c r="N22" s="70">
        <v>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7136.3600000000006</v>
      </c>
      <c r="T22" s="70">
        <f t="shared" si="3"/>
        <v>7136.3600000000006</v>
      </c>
      <c r="U22" s="198">
        <v>10000</v>
      </c>
      <c r="V22" s="199">
        <f t="shared" si="4"/>
        <v>0.71363600000000005</v>
      </c>
      <c r="W22" s="199">
        <f t="shared" si="5"/>
        <v>0.71363600000000005</v>
      </c>
      <c r="X22" s="206"/>
      <c r="Y22" s="317"/>
    </row>
    <row r="23" spans="1:28" s="14" customFormat="1" x14ac:dyDescent="0.2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172.75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172.75</v>
      </c>
      <c r="T25" s="70">
        <f t="shared" si="3"/>
        <v>172.75</v>
      </c>
      <c r="U25" s="198">
        <v>3311</v>
      </c>
      <c r="V25" s="199">
        <f t="shared" si="4"/>
        <v>5.2174569616430085E-2</v>
      </c>
      <c r="W25" s="199">
        <f t="shared" si="5"/>
        <v>5.2174569616430085E-2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433.98</v>
      </c>
      <c r="J27" s="70">
        <v>310.88499999999999</v>
      </c>
      <c r="K27" s="70">
        <v>404.54</v>
      </c>
      <c r="L27" s="70">
        <v>324.3</v>
      </c>
      <c r="M27" s="70">
        <v>594.33000000000004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3978.8550000000005</v>
      </c>
      <c r="T27" s="70">
        <f t="shared" si="3"/>
        <v>3978.8550000000005</v>
      </c>
      <c r="U27" s="198">
        <v>8000</v>
      </c>
      <c r="V27" s="199">
        <f t="shared" si="4"/>
        <v>0.49735687500000003</v>
      </c>
      <c r="W27" s="199">
        <f t="shared" si="5"/>
        <v>0.49735687500000003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2125.58</v>
      </c>
      <c r="J28" s="70">
        <v>830</v>
      </c>
      <c r="K28" s="70">
        <v>1443.62</v>
      </c>
      <c r="L28" s="70">
        <v>830</v>
      </c>
      <c r="M28" s="70">
        <v>255.45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10748.400000000001</v>
      </c>
      <c r="T28" s="70">
        <f t="shared" si="3"/>
        <v>10748.400000000001</v>
      </c>
      <c r="U28" s="198">
        <v>15000</v>
      </c>
      <c r="V28" s="199">
        <f t="shared" si="4"/>
        <v>0.71656000000000009</v>
      </c>
      <c r="W28" s="199">
        <f t="shared" si="5"/>
        <v>0.71656000000000009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47250</v>
      </c>
      <c r="T29" s="70">
        <f t="shared" si="3"/>
        <v>63000</v>
      </c>
      <c r="U29" s="198">
        <v>72000</v>
      </c>
      <c r="V29" s="199">
        <f t="shared" si="4"/>
        <v>0.65625</v>
      </c>
      <c r="W29" s="199">
        <f t="shared" si="5"/>
        <v>0.875</v>
      </c>
      <c r="X29" s="206"/>
      <c r="Y29" s="317"/>
    </row>
    <row r="30" spans="1:28" s="14" customFormat="1" x14ac:dyDescent="0.2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182.75</v>
      </c>
      <c r="J30" s="70">
        <v>320.14</v>
      </c>
      <c r="K30" s="70">
        <v>375.48</v>
      </c>
      <c r="L30" s="70">
        <v>341.74</v>
      </c>
      <c r="M30" s="70">
        <v>170.19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2173.6099999999997</v>
      </c>
      <c r="T30" s="70">
        <f t="shared" ref="T30" si="19">SUM(D30:R30)</f>
        <v>2173.6099999999997</v>
      </c>
      <c r="U30" s="198">
        <v>4000.25</v>
      </c>
      <c r="V30" s="199">
        <f t="shared" ref="V30" si="20">IF(U30=0,0,SUMIF($D$6:$R$6,$X$2,D30:R30)/U30)</f>
        <v>0.54336853946628327</v>
      </c>
      <c r="W30" s="199">
        <f t="shared" ref="W30" si="21">IF(U30=0,0,T30/U30)</f>
        <v>0.54336853946628327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161.47999999999999</v>
      </c>
      <c r="J31" s="70">
        <v>0</v>
      </c>
      <c r="K31" s="70">
        <v>322.95999999999998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682.72</v>
      </c>
      <c r="T31" s="70">
        <f t="shared" si="3"/>
        <v>682.72</v>
      </c>
      <c r="U31" s="198">
        <v>5000</v>
      </c>
      <c r="V31" s="199">
        <f t="shared" si="4"/>
        <v>0.136544</v>
      </c>
      <c r="W31" s="199">
        <f t="shared" si="5"/>
        <v>0.136544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410.29</v>
      </c>
      <c r="J32" s="70">
        <v>383.5</v>
      </c>
      <c r="K32" s="70">
        <v>373.5</v>
      </c>
      <c r="L32" s="70">
        <v>160.35</v>
      </c>
      <c r="M32" s="70">
        <v>551.4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3531.3</v>
      </c>
      <c r="T32" s="70">
        <f t="shared" si="3"/>
        <v>3531.3</v>
      </c>
      <c r="U32" s="198">
        <v>5000</v>
      </c>
      <c r="V32" s="199">
        <f t="shared" si="4"/>
        <v>0.70626</v>
      </c>
      <c r="W32" s="199">
        <f t="shared" si="5"/>
        <v>0.70626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/>
      <c r="K34" s="70">
        <v>95.49</v>
      </c>
      <c r="L34" s="70">
        <v>0</v>
      </c>
      <c r="M34" s="70">
        <v>108.17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315.79000000000002</v>
      </c>
      <c r="T34" s="70">
        <f t="shared" si="3"/>
        <v>315.79000000000002</v>
      </c>
      <c r="U34" s="198">
        <v>1000</v>
      </c>
      <c r="V34" s="199">
        <f t="shared" si="4"/>
        <v>0.31579000000000002</v>
      </c>
      <c r="W34" s="199">
        <f t="shared" si="5"/>
        <v>0.31579000000000002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986.82</v>
      </c>
      <c r="J35" s="70">
        <v>73.819999999999993</v>
      </c>
      <c r="K35" s="70">
        <v>-556.42999999999995</v>
      </c>
      <c r="L35" s="70">
        <v>992.32</v>
      </c>
      <c r="M35" s="70">
        <v>75.319999999999993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3400.3800000000006</v>
      </c>
      <c r="T35" s="70">
        <f t="shared" si="3"/>
        <v>3400.3800000000006</v>
      </c>
      <c r="U35" s="70">
        <v>10000</v>
      </c>
      <c r="V35" s="199">
        <f t="shared" si="4"/>
        <v>0.34003800000000006</v>
      </c>
      <c r="W35" s="199">
        <f t="shared" si="5"/>
        <v>0.34003800000000006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14139.98</v>
      </c>
      <c r="J36" s="70">
        <v>9699.75</v>
      </c>
      <c r="K36" s="70">
        <v>38097.040000000001</v>
      </c>
      <c r="L36" s="70">
        <v>14210.28</v>
      </c>
      <c r="M36" s="70">
        <v>14136.87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319351.49000000005</v>
      </c>
      <c r="T36" s="70">
        <f t="shared" si="3"/>
        <v>319351.49000000005</v>
      </c>
      <c r="U36" s="70">
        <v>410621</v>
      </c>
      <c r="V36" s="199">
        <f t="shared" si="4"/>
        <v>0.77772809963445622</v>
      </c>
      <c r="W36" s="199">
        <f t="shared" si="5"/>
        <v>0.77772809963445622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45830</v>
      </c>
      <c r="O38" s="70">
        <v>4583</v>
      </c>
      <c r="P38" s="70">
        <v>4583</v>
      </c>
      <c r="Q38" s="70">
        <v>0</v>
      </c>
      <c r="R38" s="198">
        <v>0</v>
      </c>
      <c r="S38" s="198">
        <f t="shared" si="2"/>
        <v>0</v>
      </c>
      <c r="T38" s="70">
        <f t="shared" si="3"/>
        <v>54996</v>
      </c>
      <c r="U38" s="70">
        <v>55000</v>
      </c>
      <c r="V38" s="199">
        <f t="shared" si="4"/>
        <v>0</v>
      </c>
      <c r="W38" s="199">
        <f t="shared" si="5"/>
        <v>0.99992727272727278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70809.62</v>
      </c>
      <c r="J39" s="70">
        <v>18179.52</v>
      </c>
      <c r="K39" s="70">
        <v>50100.75</v>
      </c>
      <c r="L39" s="70">
        <v>18216.189999999999</v>
      </c>
      <c r="M39" s="70">
        <v>40882.43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298410.51</v>
      </c>
      <c r="T39" s="70">
        <f t="shared" si="3"/>
        <v>298410.51</v>
      </c>
      <c r="U39" s="70">
        <v>324259</v>
      </c>
      <c r="V39" s="199">
        <f t="shared" si="4"/>
        <v>0.92028443312290487</v>
      </c>
      <c r="W39" s="199">
        <f t="shared" si="5"/>
        <v>0.92028443312290487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189.99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189.99</v>
      </c>
      <c r="T42" s="70">
        <f t="shared" si="3"/>
        <v>189.99</v>
      </c>
      <c r="U42" s="70">
        <v>189</v>
      </c>
      <c r="V42" s="199">
        <f t="shared" si="4"/>
        <v>1.0052380952380953</v>
      </c>
      <c r="W42" s="199">
        <f t="shared" si="5"/>
        <v>1.0052380952380953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216.97</v>
      </c>
      <c r="L43" s="70">
        <v>0</v>
      </c>
      <c r="M43" s="70">
        <v>119.99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381.05</v>
      </c>
      <c r="T43" s="70">
        <f t="shared" ref="T43:T46" si="31">SUM(D43:R43)</f>
        <v>381.05</v>
      </c>
      <c r="U43" s="198">
        <v>5000</v>
      </c>
      <c r="V43" s="199">
        <f t="shared" ref="V43:V46" si="32">IF(U43=0,0,SUMIF($D$6:$R$6,$X$2,D43:R43)/U43)</f>
        <v>7.621E-2</v>
      </c>
      <c r="W43" s="199">
        <f t="shared" ref="W43:W46" si="33">IF(U43=0,0,T43/U43)</f>
        <v>7.621E-2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3006.1</v>
      </c>
      <c r="J44" s="70">
        <v>2267.84</v>
      </c>
      <c r="K44" s="70">
        <v>2171.61</v>
      </c>
      <c r="L44" s="70">
        <v>3332.58</v>
      </c>
      <c r="M44" s="70">
        <v>2619.0300000000002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24718.93</v>
      </c>
      <c r="T44" s="70">
        <f t="shared" si="31"/>
        <v>24718.93</v>
      </c>
      <c r="U44" s="198">
        <v>30000</v>
      </c>
      <c r="V44" s="199">
        <f t="shared" si="32"/>
        <v>0.8239643333333333</v>
      </c>
      <c r="W44" s="199">
        <f t="shared" si="33"/>
        <v>0.8239643333333333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85</v>
      </c>
      <c r="K46" s="198">
        <v>440</v>
      </c>
      <c r="L46" s="198">
        <v>0</v>
      </c>
      <c r="M46" s="198">
        <v>135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1020</v>
      </c>
      <c r="T46" s="70">
        <f t="shared" si="31"/>
        <v>1020</v>
      </c>
      <c r="U46" s="198">
        <v>5000</v>
      </c>
      <c r="V46" s="199">
        <f t="shared" si="32"/>
        <v>0.20399999999999999</v>
      </c>
      <c r="W46" s="199">
        <f t="shared" si="33"/>
        <v>0.20399999999999999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229547.50000000003</v>
      </c>
      <c r="J48" s="201">
        <f t="shared" si="38"/>
        <v>178865.815</v>
      </c>
      <c r="K48" s="201">
        <f t="shared" si="38"/>
        <v>234944.88</v>
      </c>
      <c r="L48" s="201">
        <f t="shared" si="38"/>
        <v>247034.37999999998</v>
      </c>
      <c r="M48" s="201">
        <f t="shared" si="38"/>
        <v>208894.31999999998</v>
      </c>
      <c r="N48" s="201">
        <f t="shared" si="38"/>
        <v>187569.7</v>
      </c>
      <c r="O48" s="201">
        <f t="shared" si="38"/>
        <v>146322.70000000001</v>
      </c>
      <c r="P48" s="201">
        <f t="shared" si="38"/>
        <v>70986.58</v>
      </c>
      <c r="Q48" s="201">
        <f t="shared" si="38"/>
        <v>0</v>
      </c>
      <c r="R48" s="201">
        <f t="shared" si="38"/>
        <v>0</v>
      </c>
      <c r="S48" s="201">
        <f t="shared" si="38"/>
        <v>2120593.2550000004</v>
      </c>
      <c r="T48" s="91">
        <f t="shared" si="38"/>
        <v>2525472.2350000008</v>
      </c>
      <c r="U48" s="201">
        <f t="shared" si="38"/>
        <v>2842945.92</v>
      </c>
      <c r="V48" s="202">
        <f>SUMIF($D$6:$R$6,$X$2,D48:R48)/U48</f>
        <v>0.74591403237104137</v>
      </c>
      <c r="W48" s="202">
        <f>T48/U48</f>
        <v>0.8883293267147343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-88077.000000000029</v>
      </c>
      <c r="J51" s="201">
        <f t="shared" si="39"/>
        <v>-3238.0650000000023</v>
      </c>
      <c r="K51" s="201">
        <f t="shared" si="39"/>
        <v>-72186.63</v>
      </c>
      <c r="L51" s="201">
        <f t="shared" si="39"/>
        <v>-79954.879999999976</v>
      </c>
      <c r="M51" s="201">
        <f t="shared" si="39"/>
        <v>-40972.069999999978</v>
      </c>
      <c r="N51" s="201">
        <f t="shared" si="39"/>
        <v>27430.299999999988</v>
      </c>
      <c r="O51" s="201">
        <f t="shared" si="39"/>
        <v>143177.29999999999</v>
      </c>
      <c r="P51" s="201">
        <f t="shared" si="39"/>
        <v>-170986.58000000002</v>
      </c>
      <c r="Q51" s="201">
        <f t="shared" si="39"/>
        <v>-654200</v>
      </c>
      <c r="R51" s="201">
        <f t="shared" si="39"/>
        <v>0</v>
      </c>
      <c r="S51" s="201">
        <f t="shared" si="39"/>
        <v>654578.81499999948</v>
      </c>
      <c r="T51" s="91">
        <f t="shared" si="39"/>
        <v>-0.16500000096857548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296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850930.45999999985</v>
      </c>
      <c r="J53" s="210">
        <f>I53+J51-J52</f>
        <v>847692.39499999979</v>
      </c>
      <c r="K53" s="210">
        <f t="shared" si="40"/>
        <v>775505.76499999978</v>
      </c>
      <c r="L53" s="210">
        <f t="shared" si="40"/>
        <v>695550.88499999978</v>
      </c>
      <c r="M53" s="210">
        <f t="shared" si="40"/>
        <v>654578.81499999983</v>
      </c>
      <c r="N53" s="210">
        <f t="shared" si="40"/>
        <v>682009.11499999976</v>
      </c>
      <c r="O53" s="210">
        <f t="shared" si="40"/>
        <v>825186.4149999998</v>
      </c>
      <c r="P53" s="210">
        <f t="shared" si="40"/>
        <v>654199.83499999973</v>
      </c>
      <c r="Q53" s="210">
        <f t="shared" si="40"/>
        <v>-0.16500000027008355</v>
      </c>
      <c r="R53" s="210">
        <f t="shared" si="40"/>
        <v>-0.16500000027008355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291</v>
      </c>
      <c r="W55" s="348" t="s">
        <v>292</v>
      </c>
      <c r="X55" s="184"/>
      <c r="Y55" s="106"/>
      <c r="Z55" s="107"/>
      <c r="AA55" s="14"/>
      <c r="AB55" s="14"/>
    </row>
    <row r="56" spans="1:28" ht="18" x14ac:dyDescent="0.25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364</v>
      </c>
      <c r="Q56" s="175" t="s">
        <v>359</v>
      </c>
      <c r="R56" s="340"/>
      <c r="S56" s="341"/>
      <c r="T56" s="78" t="s">
        <v>357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277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350</v>
      </c>
      <c r="N57" s="238"/>
      <c r="O57" s="170"/>
      <c r="P57" s="339" t="s">
        <v>360</v>
      </c>
      <c r="Q57" s="176" t="s">
        <v>359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293</v>
      </c>
      <c r="N58" s="239"/>
      <c r="O58" s="170"/>
      <c r="P58" s="339" t="s">
        <v>358</v>
      </c>
      <c r="Q58" s="176" t="s">
        <v>359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301</v>
      </c>
      <c r="N59" s="364"/>
      <c r="O59" s="174"/>
      <c r="P59" s="339" t="s">
        <v>361</v>
      </c>
      <c r="Q59" s="176" t="s">
        <v>359</v>
      </c>
      <c r="R59" s="340"/>
      <c r="S59" s="341"/>
      <c r="T59" s="78" t="s">
        <v>280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339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349</v>
      </c>
      <c r="N60" s="364"/>
      <c r="O60" s="174"/>
      <c r="P60" s="343" t="s">
        <v>262</v>
      </c>
      <c r="Q60" s="176" t="s">
        <v>362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25">
      <c r="A61" s="171">
        <v>202</v>
      </c>
      <c r="B61" s="75" t="s">
        <v>276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263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354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283</v>
      </c>
      <c r="N62" s="364"/>
      <c r="O62" s="217"/>
      <c r="P62" s="344" t="s">
        <v>297</v>
      </c>
      <c r="Q62" s="176" t="s">
        <v>289</v>
      </c>
      <c r="R62" s="340"/>
      <c r="S62" s="341"/>
      <c r="T62" s="366" t="s">
        <v>300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299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265</v>
      </c>
      <c r="Q63" s="175" t="s">
        <v>157</v>
      </c>
      <c r="R63" s="340"/>
      <c r="S63" s="341"/>
      <c r="T63" s="78" t="s">
        <v>348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365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328</v>
      </c>
      <c r="M64" s="78" t="s">
        <v>322</v>
      </c>
      <c r="N64" s="365"/>
      <c r="O64" s="181"/>
      <c r="P64" s="330" t="s">
        <v>266</v>
      </c>
      <c r="Q64" s="175" t="s">
        <v>157</v>
      </c>
      <c r="R64" s="340"/>
      <c r="S64" s="341"/>
      <c r="T64" s="78" t="s">
        <v>309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282</v>
      </c>
      <c r="M65" s="78" t="s">
        <v>244</v>
      </c>
      <c r="N65" s="365"/>
      <c r="O65" s="164"/>
      <c r="P65" s="330" t="s">
        <v>267</v>
      </c>
      <c r="Q65" s="175" t="s">
        <v>157</v>
      </c>
      <c r="R65" s="340"/>
      <c r="S65" s="341"/>
      <c r="T65" s="78" t="s">
        <v>357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281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329</v>
      </c>
      <c r="M66" s="78" t="s">
        <v>324</v>
      </c>
      <c r="N66" s="364"/>
      <c r="O66" s="164"/>
      <c r="P66" s="330" t="s">
        <v>268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332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274</v>
      </c>
      <c r="M67" s="78" t="s">
        <v>298</v>
      </c>
      <c r="N67" s="365"/>
      <c r="O67" s="164"/>
      <c r="P67" s="330" t="s">
        <v>264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68" t="s">
        <v>351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330</v>
      </c>
      <c r="M68" s="78" t="s">
        <v>325</v>
      </c>
      <c r="N68" s="365"/>
      <c r="O68" s="164"/>
      <c r="P68" s="330" t="s">
        <v>269</v>
      </c>
      <c r="Q68" s="175" t="s">
        <v>162</v>
      </c>
      <c r="R68" s="340"/>
      <c r="S68" s="341"/>
      <c r="T68" s="78" t="s">
        <v>295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353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331</v>
      </c>
      <c r="M69" s="413" t="s">
        <v>333</v>
      </c>
      <c r="N69" s="240"/>
      <c r="O69" s="164"/>
      <c r="P69" s="330" t="s">
        <v>270</v>
      </c>
      <c r="Q69" s="175" t="s">
        <v>163</v>
      </c>
      <c r="R69" s="340"/>
      <c r="S69" s="341"/>
      <c r="T69" s="366" t="s">
        <v>294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344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288</v>
      </c>
      <c r="N70" s="351">
        <f>COUNTA(M57:M69)</f>
        <v>13</v>
      </c>
      <c r="O70" s="164"/>
      <c r="P70" s="334" t="s">
        <v>271</v>
      </c>
      <c r="Q70" s="359" t="s">
        <v>363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307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290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308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316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25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25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25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25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25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25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25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25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25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8" x14ac:dyDescent="0.2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8" x14ac:dyDescent="0.2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8" x14ac:dyDescent="0.2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2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8" x14ac:dyDescent="0.2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8" x14ac:dyDescent="0.2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8" x14ac:dyDescent="0.2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8" x14ac:dyDescent="0.2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8" x14ac:dyDescent="0.2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8" x14ac:dyDescent="0.2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8" x14ac:dyDescent="0.2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8" x14ac:dyDescent="0.2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8" x14ac:dyDescent="0.2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8" x14ac:dyDescent="0.2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8" x14ac:dyDescent="0.2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8" x14ac:dyDescent="0.2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8" x14ac:dyDescent="0.2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8" x14ac:dyDescent="0.2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8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8" x14ac:dyDescent="0.25">
      <c r="M118" s="164"/>
      <c r="N118" s="164"/>
      <c r="O118" s="164"/>
      <c r="S118" s="75"/>
      <c r="T118" s="75"/>
      <c r="U118" s="75"/>
      <c r="V118" s="75"/>
      <c r="W118" s="75"/>
    </row>
    <row r="119" spans="1:28" ht="18" x14ac:dyDescent="0.25">
      <c r="S119" s="75"/>
      <c r="T119" s="75"/>
      <c r="U119" s="75"/>
      <c r="V119" s="75"/>
      <c r="W119" s="75"/>
    </row>
    <row r="120" spans="1:28" ht="18" x14ac:dyDescent="0.25">
      <c r="S120" s="75"/>
      <c r="T120" s="75"/>
      <c r="U120" s="75"/>
      <c r="V120" s="75"/>
      <c r="W120" s="75"/>
    </row>
    <row r="121" spans="1:28" ht="18" x14ac:dyDescent="0.25">
      <c r="S121" s="75"/>
      <c r="T121" s="75"/>
      <c r="U121" s="75"/>
      <c r="V121" s="76"/>
      <c r="W121" s="76"/>
    </row>
    <row r="122" spans="1:28" ht="18" x14ac:dyDescent="0.25">
      <c r="S122" s="75"/>
      <c r="T122" s="76"/>
      <c r="U122" s="76"/>
      <c r="V122" s="76"/>
      <c r="W122" s="76"/>
    </row>
    <row r="123" spans="1:28" ht="18" x14ac:dyDescent="0.25">
      <c r="S123" s="75"/>
      <c r="T123" s="76"/>
      <c r="U123" s="76"/>
      <c r="V123" s="76"/>
      <c r="W123" s="76"/>
    </row>
    <row r="124" spans="1:28" ht="18" x14ac:dyDescent="0.25">
      <c r="S124" s="75"/>
      <c r="T124" s="76"/>
      <c r="U124" s="76"/>
      <c r="V124" s="76"/>
      <c r="W124" s="76"/>
    </row>
    <row r="125" spans="1:28" ht="18" x14ac:dyDescent="0.25">
      <c r="S125" s="75"/>
      <c r="T125" s="76"/>
      <c r="U125" s="76"/>
      <c r="V125" s="76"/>
      <c r="W125" s="76"/>
    </row>
    <row r="126" spans="1:28" ht="18" x14ac:dyDescent="0.25">
      <c r="S126" s="75"/>
      <c r="T126" s="76"/>
      <c r="U126" s="76"/>
      <c r="V126" s="76"/>
      <c r="W126" s="76"/>
    </row>
    <row r="127" spans="1:28" ht="18" x14ac:dyDescent="0.25">
      <c r="S127" s="75"/>
      <c r="T127" s="76"/>
      <c r="U127" s="76"/>
      <c r="V127" s="76"/>
      <c r="W127" s="76"/>
    </row>
    <row r="128" spans="1:28" ht="18" x14ac:dyDescent="0.25">
      <c r="S128" s="75"/>
      <c r="T128" s="76"/>
      <c r="U128" s="76"/>
    </row>
  </sheetData>
  <sortState xmlns:xlrd2="http://schemas.microsoft.com/office/spreadsheetml/2017/richdata2"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285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v>98.75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3178.75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103255.5</v>
      </c>
      <c r="J12" s="9">
        <f>IF(J$6="Actual",'9397 BOEE'!J12,0)</f>
        <v>128347.75</v>
      </c>
      <c r="K12" s="9">
        <f>IF(K$6="Actual",'9397 BOEE'!K12,0)</f>
        <v>117208.25</v>
      </c>
      <c r="L12" s="9">
        <v>124020.75</v>
      </c>
      <c r="M12" s="9">
        <f>IF(M$6="Actual",'9397 BOEE'!M12,0)</f>
        <v>125117.25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1305448.25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38215</v>
      </c>
      <c r="J14" s="9">
        <f>IF(J$6="Actual",'9397 BOEE'!J14,0)</f>
        <v>47280</v>
      </c>
      <c r="K14" s="9">
        <f>IF(K$6="Actual",'9397 BOEE'!K14,0)</f>
        <v>45550</v>
      </c>
      <c r="L14" s="9">
        <v>42960</v>
      </c>
      <c r="M14" s="9">
        <f>IF(M$6="Actual",'9397 BOEE'!M14,0)</f>
        <v>42805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437545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141470.5</v>
      </c>
      <c r="J16" s="201">
        <f t="shared" si="2"/>
        <v>175627.75</v>
      </c>
      <c r="K16" s="201">
        <f t="shared" si="2"/>
        <v>162758.25</v>
      </c>
      <c r="L16" s="201">
        <f t="shared" si="2"/>
        <v>167079.5</v>
      </c>
      <c r="M16" s="201">
        <f t="shared" si="2"/>
        <v>167922.25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1746172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21.25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321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32492.5</v>
      </c>
      <c r="J19" s="382">
        <v>40286.25</v>
      </c>
      <c r="K19" s="382">
        <v>36698.75</v>
      </c>
      <c r="L19" s="382">
        <v>39066.25</v>
      </c>
      <c r="M19" s="382">
        <v>39313.75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410648.75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32492.5</v>
      </c>
      <c r="J21" s="374">
        <f t="shared" si="4"/>
        <v>40286.25</v>
      </c>
      <c r="K21" s="374">
        <f t="shared" si="4"/>
        <v>36698.75</v>
      </c>
      <c r="L21" s="374">
        <f t="shared" si="4"/>
        <v>39087.5</v>
      </c>
      <c r="M21" s="374">
        <f t="shared" si="4"/>
        <v>39313.75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410670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173963</v>
      </c>
      <c r="J23" s="297">
        <f t="shared" si="5"/>
        <v>215914</v>
      </c>
      <c r="K23" s="297">
        <f t="shared" si="5"/>
        <v>199457</v>
      </c>
      <c r="L23" s="297">
        <f t="shared" si="5"/>
        <v>206167</v>
      </c>
      <c r="M23" s="297">
        <f t="shared" si="5"/>
        <v>207236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2156842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2" t="s">
        <v>272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>
        <f>IF(I6="Actual",SUM($D23:I23)/SUM($D50:I50)-1,"")</f>
        <v>-1.8578981779795001E-2</v>
      </c>
      <c r="J25" s="333">
        <f>IF(J6="Actual",SUM($D23:J23)/SUM($D50:J50)-1,"")</f>
        <v>-3.9815323986037932E-2</v>
      </c>
      <c r="K25" s="352">
        <f>IF(K6="Actual",SUM($D23:K23)/SUM($D50:K50)-1,"")</f>
        <v>-3.9702278012199499E-2</v>
      </c>
      <c r="L25" s="333">
        <f>IF(L6="Actual",SUM($D23:L23)/SUM($D50:L50)-1,"")</f>
        <v>-3.2530059348907514E-2</v>
      </c>
      <c r="M25" s="352">
        <f>IF(M6="Actual",SUM($D23:M23)/SUM($D50:M50)-1,"")</f>
        <v>-3.9947796397492907E-2</v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1" t="s">
        <v>337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" x14ac:dyDescent="0.2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.5" thickBot="1" x14ac:dyDescent="0.3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/>
      <c r="B2" s="288" t="s">
        <v>340</v>
      </c>
      <c r="C2" s="287"/>
      <c r="D2" s="287"/>
      <c r="E2" s="287"/>
      <c r="F2" s="287"/>
      <c r="G2" s="287"/>
      <c r="H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341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323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3178.75</v>
      </c>
      <c r="D8" s="9"/>
      <c r="E8" s="271">
        <f t="shared" ref="E8:E10" si="1">C8+D8</f>
        <v>3178.75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1305448.25</v>
      </c>
      <c r="D9" s="9"/>
      <c r="E9" s="271">
        <f t="shared" si="1"/>
        <v>1305448.25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437545</v>
      </c>
      <c r="D10" s="9"/>
      <c r="E10" s="271">
        <f t="shared" si="1"/>
        <v>437545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2775172.07</v>
      </c>
      <c r="D11" s="281">
        <f t="shared" ref="D11" si="3">SUM(D6:D10)</f>
        <v>0</v>
      </c>
      <c r="E11" s="281">
        <f t="shared" si="2"/>
        <v>2775172.07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1746172</v>
      </c>
      <c r="D12" s="283">
        <f>SUM(D8:D10)</f>
        <v>0</v>
      </c>
      <c r="E12" s="283">
        <f>SUM(E8:E10)</f>
        <v>1746172</v>
      </c>
      <c r="F12" s="283"/>
      <c r="G12" s="284">
        <f>SUM(G8:G10)</f>
        <v>2390500</v>
      </c>
      <c r="H12" s="285">
        <f>G12-E12</f>
        <v>644328</v>
      </c>
      <c r="I12" s="274">
        <f>IF(G12=0,0,E12/G12)</f>
        <v>0.73046308303702157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1383541.83</v>
      </c>
      <c r="D15" s="9"/>
      <c r="E15" s="271">
        <f t="shared" ref="E15:E42" si="4">C15+D15</f>
        <v>1383541.83</v>
      </c>
      <c r="F15" s="271"/>
      <c r="G15" s="273">
        <f>'9397 BOEE'!U19</f>
        <v>1774366</v>
      </c>
      <c r="H15" s="9">
        <f>G15-E15</f>
        <v>390824.16999999993</v>
      </c>
      <c r="I15" s="274">
        <f t="shared" ref="I15:I43" si="5">IF(G15=0,0,E15/G15)</f>
        <v>0.77973869539880725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10477.689999999999</v>
      </c>
      <c r="D16" s="9"/>
      <c r="E16" s="271">
        <f t="shared" si="4"/>
        <v>10477.689999999999</v>
      </c>
      <c r="F16" s="271"/>
      <c r="G16" s="273">
        <f>'9397 BOEE'!U20</f>
        <v>15000</v>
      </c>
      <c r="H16" s="9">
        <f t="shared" ref="H16:H42" si="6">G16-D16-C16</f>
        <v>4522.3100000000013</v>
      </c>
      <c r="I16" s="274">
        <f t="shared" si="5"/>
        <v>0.69851266666666656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3111.6</v>
      </c>
      <c r="D17" s="9"/>
      <c r="E17" s="271">
        <f t="shared" si="4"/>
        <v>3111.6</v>
      </c>
      <c r="F17" s="271"/>
      <c r="G17" s="273">
        <f>'9397 BOEE'!U21</f>
        <v>20000</v>
      </c>
      <c r="H17" s="9">
        <f t="shared" si="6"/>
        <v>16888.400000000001</v>
      </c>
      <c r="I17" s="274">
        <f t="shared" si="5"/>
        <v>0.15558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7136.3600000000006</v>
      </c>
      <c r="D18" s="9"/>
      <c r="E18" s="271">
        <f t="shared" si="4"/>
        <v>7136.3600000000006</v>
      </c>
      <c r="F18" s="271"/>
      <c r="G18" s="273">
        <f>'9397 BOEE'!U22</f>
        <v>10000</v>
      </c>
      <c r="H18" s="9">
        <f t="shared" si="6"/>
        <v>2863.6399999999994</v>
      </c>
      <c r="I18" s="274">
        <f t="shared" si="5"/>
        <v>0.71363600000000005</v>
      </c>
    </row>
    <row r="19" spans="1:9" x14ac:dyDescent="0.2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172.75</v>
      </c>
      <c r="D21" s="9"/>
      <c r="E21" s="271">
        <f t="shared" si="4"/>
        <v>172.75</v>
      </c>
      <c r="F21" s="271"/>
      <c r="G21" s="273">
        <f>'9397 BOEE'!U25</f>
        <v>3311</v>
      </c>
      <c r="H21" s="9">
        <f t="shared" si="6"/>
        <v>3138.25</v>
      </c>
      <c r="I21" s="274">
        <f t="shared" si="5"/>
        <v>5.2174569616430085E-2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3978.8550000000005</v>
      </c>
      <c r="D23" s="9"/>
      <c r="E23" s="271">
        <f t="shared" si="4"/>
        <v>3978.8550000000005</v>
      </c>
      <c r="F23" s="271"/>
      <c r="G23" s="273">
        <f>'9397 BOEE'!U27</f>
        <v>8000</v>
      </c>
      <c r="H23" s="9">
        <f t="shared" si="6"/>
        <v>4021.1449999999995</v>
      </c>
      <c r="I23" s="274">
        <f t="shared" si="5"/>
        <v>0.49735687500000003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10748.400000000001</v>
      </c>
      <c r="D24" s="9"/>
      <c r="E24" s="271">
        <f t="shared" si="4"/>
        <v>10748.400000000001</v>
      </c>
      <c r="F24" s="271"/>
      <c r="G24" s="273">
        <f>'9397 BOEE'!U28</f>
        <v>15000</v>
      </c>
      <c r="H24" s="9">
        <f t="shared" si="6"/>
        <v>4251.5999999999985</v>
      </c>
      <c r="I24" s="274">
        <f t="shared" si="5"/>
        <v>0.71656000000000009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47250</v>
      </c>
      <c r="D25" s="9"/>
      <c r="E25" s="271">
        <f t="shared" si="4"/>
        <v>47250</v>
      </c>
      <c r="F25" s="271"/>
      <c r="G25" s="273">
        <f>'9397 BOEE'!U29</f>
        <v>72000</v>
      </c>
      <c r="H25" s="9">
        <f t="shared" si="6"/>
        <v>24750</v>
      </c>
      <c r="I25" s="274">
        <f t="shared" si="5"/>
        <v>0.65625</v>
      </c>
    </row>
    <row r="26" spans="1:9" x14ac:dyDescent="0.2">
      <c r="A26" s="267" t="s">
        <v>236</v>
      </c>
      <c r="B26" s="266" t="s">
        <v>237</v>
      </c>
      <c r="C26" s="9">
        <f>'9397 BOEE'!S30</f>
        <v>2173.6099999999997</v>
      </c>
      <c r="D26" s="9"/>
      <c r="E26" s="271">
        <f t="shared" ref="E26" si="11">C26+D26</f>
        <v>2173.6099999999997</v>
      </c>
      <c r="F26" s="271"/>
      <c r="G26" s="273">
        <f>'9397 BOEE'!U30</f>
        <v>4000.25</v>
      </c>
      <c r="H26" s="9">
        <f t="shared" ref="H26" si="12">G26-D26-C26</f>
        <v>1826.6400000000003</v>
      </c>
      <c r="I26" s="274">
        <f t="shared" si="5"/>
        <v>0.54336853946628327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682.72</v>
      </c>
      <c r="D27" s="9"/>
      <c r="E27" s="271">
        <f t="shared" si="4"/>
        <v>682.72</v>
      </c>
      <c r="F27" s="271"/>
      <c r="G27" s="273">
        <f>'9397 BOEE'!U31</f>
        <v>5000</v>
      </c>
      <c r="H27" s="9">
        <f t="shared" si="6"/>
        <v>4317.28</v>
      </c>
      <c r="I27" s="274">
        <f t="shared" si="5"/>
        <v>0.136544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3531.3</v>
      </c>
      <c r="D28" s="9"/>
      <c r="E28" s="271">
        <f t="shared" si="4"/>
        <v>3531.3</v>
      </c>
      <c r="F28" s="271"/>
      <c r="G28" s="273">
        <f>'9397 BOEE'!U32</f>
        <v>5000</v>
      </c>
      <c r="H28" s="9">
        <f t="shared" si="6"/>
        <v>1468.6999999999998</v>
      </c>
      <c r="I28" s="274">
        <f t="shared" si="5"/>
        <v>0.70626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315.79000000000002</v>
      </c>
      <c r="D30" s="9"/>
      <c r="E30" s="271">
        <f t="shared" si="4"/>
        <v>315.79000000000002</v>
      </c>
      <c r="F30" s="271"/>
      <c r="G30" s="273">
        <f>'9397 BOEE'!U34</f>
        <v>1000</v>
      </c>
      <c r="H30" s="9">
        <f t="shared" si="6"/>
        <v>684.21</v>
      </c>
      <c r="I30" s="274">
        <f t="shared" si="5"/>
        <v>0.31579000000000002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3400.3800000000006</v>
      </c>
      <c r="D31" s="9"/>
      <c r="E31" s="271">
        <f t="shared" si="4"/>
        <v>3400.3800000000006</v>
      </c>
      <c r="F31" s="271"/>
      <c r="G31" s="273">
        <f>'9397 BOEE'!U35</f>
        <v>10000</v>
      </c>
      <c r="H31" s="9">
        <f t="shared" si="6"/>
        <v>6599.619999999999</v>
      </c>
      <c r="I31" s="274">
        <f t="shared" si="5"/>
        <v>0.34003800000000006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319351.49000000005</v>
      </c>
      <c r="D32" s="9"/>
      <c r="E32" s="271">
        <f t="shared" si="4"/>
        <v>319351.49000000005</v>
      </c>
      <c r="F32" s="271"/>
      <c r="G32" s="273">
        <f>'9397 BOEE'!U36</f>
        <v>410621</v>
      </c>
      <c r="H32" s="9">
        <f t="shared" si="6"/>
        <v>91269.509999999951</v>
      </c>
      <c r="I32" s="274">
        <f t="shared" si="5"/>
        <v>0.77772809963445622</v>
      </c>
    </row>
    <row r="33" spans="1:11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11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11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298410.51</v>
      </c>
      <c r="D35" s="9"/>
      <c r="E35" s="271">
        <f t="shared" si="4"/>
        <v>298410.51</v>
      </c>
      <c r="F35" s="271"/>
      <c r="G35" s="273">
        <f>'9397 BOEE'!U39</f>
        <v>324259</v>
      </c>
      <c r="H35" s="9">
        <f t="shared" si="6"/>
        <v>25848.489999999991</v>
      </c>
      <c r="I35" s="274">
        <f t="shared" si="5"/>
        <v>0.92028443312290487</v>
      </c>
    </row>
    <row r="36" spans="1:11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11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11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189.99</v>
      </c>
      <c r="D38" s="9"/>
      <c r="E38" s="271">
        <f t="shared" si="4"/>
        <v>189.99</v>
      </c>
      <c r="F38" s="271"/>
      <c r="G38" s="273">
        <f>'9397 BOEE'!U42</f>
        <v>189</v>
      </c>
      <c r="H38" s="9">
        <f t="shared" si="6"/>
        <v>-0.99000000000000909</v>
      </c>
      <c r="I38" s="274">
        <f t="shared" si="5"/>
        <v>1.0052380952380953</v>
      </c>
      <c r="K38" s="370" t="s">
        <v>356</v>
      </c>
    </row>
    <row r="39" spans="1:11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381.05</v>
      </c>
      <c r="D39" s="9"/>
      <c r="E39" s="271">
        <f t="shared" si="4"/>
        <v>381.05</v>
      </c>
      <c r="F39" s="271"/>
      <c r="G39" s="273">
        <f>'9397 BOEE'!U43</f>
        <v>5000</v>
      </c>
      <c r="H39" s="9">
        <f t="shared" si="6"/>
        <v>4618.95</v>
      </c>
      <c r="I39" s="274">
        <f t="shared" si="5"/>
        <v>7.621E-2</v>
      </c>
    </row>
    <row r="40" spans="1:11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24718.93</v>
      </c>
      <c r="D40" s="9"/>
      <c r="E40" s="271">
        <f t="shared" si="4"/>
        <v>24718.93</v>
      </c>
      <c r="F40" s="271"/>
      <c r="G40" s="273">
        <f>'9397 BOEE'!U44</f>
        <v>30000</v>
      </c>
      <c r="H40" s="9">
        <f t="shared" si="6"/>
        <v>5281.07</v>
      </c>
      <c r="I40" s="274">
        <f t="shared" si="5"/>
        <v>0.8239643333333333</v>
      </c>
    </row>
    <row r="41" spans="1:11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11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1020</v>
      </c>
      <c r="D42" s="9"/>
      <c r="E42" s="271">
        <f t="shared" si="4"/>
        <v>1020</v>
      </c>
      <c r="F42" s="271"/>
      <c r="G42" s="273">
        <f>'9397 BOEE'!U46</f>
        <v>5000</v>
      </c>
      <c r="H42" s="9">
        <f t="shared" si="6"/>
        <v>3980</v>
      </c>
      <c r="I42" s="274">
        <f t="shared" si="5"/>
        <v>0.20399999999999999</v>
      </c>
    </row>
    <row r="43" spans="1:11" x14ac:dyDescent="0.2">
      <c r="A43" s="266"/>
      <c r="B43" s="268" t="s">
        <v>192</v>
      </c>
      <c r="C43" s="280">
        <f>SUM(C15:C42)</f>
        <v>2120593.2550000004</v>
      </c>
      <c r="D43" s="280">
        <f>SUM(D15:D42)</f>
        <v>0</v>
      </c>
      <c r="E43" s="280">
        <f>SUM(E15:E42)</f>
        <v>2120593.2550000004</v>
      </c>
      <c r="F43" s="280"/>
      <c r="G43" s="280">
        <f>SUM(G15:G42)</f>
        <v>2842945.92</v>
      </c>
      <c r="H43" s="280">
        <f>SUM(H15:H42)</f>
        <v>722352.66499999992</v>
      </c>
      <c r="I43" s="274">
        <f t="shared" si="5"/>
        <v>0.74591403237104148</v>
      </c>
    </row>
    <row r="44" spans="1:11" x14ac:dyDescent="0.2">
      <c r="I44" s="274"/>
    </row>
    <row r="45" spans="1:11" ht="13.5" thickBot="1" x14ac:dyDescent="0.25">
      <c r="B45" s="12" t="s">
        <v>214</v>
      </c>
      <c r="C45" s="283">
        <f>C12-C43</f>
        <v>-374421.25500000035</v>
      </c>
      <c r="I45" s="274"/>
    </row>
    <row r="46" spans="1:11" ht="13.5" thickTop="1" x14ac:dyDescent="0.2">
      <c r="C46" s="285"/>
      <c r="I46" s="274"/>
    </row>
    <row r="47" spans="1:11" ht="13.5" thickBot="1" x14ac:dyDescent="0.25">
      <c r="B47" s="12" t="s">
        <v>215</v>
      </c>
      <c r="C47" s="283">
        <f>C6+C45</f>
        <v>654578.81499999959</v>
      </c>
      <c r="I47" s="274"/>
    </row>
    <row r="48" spans="1:11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4" priority="7" operator="greaterThan">
      <formula>0.67</formula>
    </cfRule>
  </conditionalFormatting>
  <conditionalFormatting sqref="I12">
    <cfRule type="cellIs" dxfId="3" priority="6" operator="greaterThan">
      <formula>$M$16</formula>
    </cfRule>
  </conditionalFormatting>
  <conditionalFormatting sqref="I15:I43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8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310</v>
      </c>
      <c r="C2" s="47"/>
      <c r="D2" s="48"/>
      <c r="E2" s="48"/>
      <c r="F2" s="48"/>
      <c r="G2" s="48"/>
      <c r="H2" s="48"/>
      <c r="I2" s="48"/>
      <c r="J2" s="133" t="s">
        <v>304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303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0.83333333333333337</v>
      </c>
      <c r="W3" s="48"/>
      <c r="X3" s="1"/>
      <c r="Y3" s="1"/>
    </row>
    <row r="4" spans="1:25" ht="15.75" x14ac:dyDescent="0.25">
      <c r="A4" s="47" t="s">
        <v>9</v>
      </c>
      <c r="B4" s="47" t="s">
        <v>285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336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305</v>
      </c>
      <c r="U6" s="53" t="s">
        <v>306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320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16703.66</v>
      </c>
      <c r="J14" s="70">
        <v>16711.36</v>
      </c>
      <c r="K14" s="70">
        <v>16711.349999999999</v>
      </c>
      <c r="L14" s="70">
        <v>26997.21</v>
      </c>
      <c r="M14" s="70">
        <v>16877.919999999998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176700.11</v>
      </c>
      <c r="T14" s="70">
        <f t="shared" ref="T14:T17" si="2">SUM(D14:R14)</f>
        <v>217100.11</v>
      </c>
      <c r="U14" s="70">
        <v>216099</v>
      </c>
      <c r="V14" s="71">
        <f>IF(U14=0,0,SUMIF($D$6:$R$6,$X$2,D14:R14)/U14)</f>
        <v>0.81768129422162983</v>
      </c>
      <c r="W14" s="199">
        <f>IF(U14=0,0,T14/U14)</f>
        <v>1.0046326452227914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2458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7.5</v>
      </c>
      <c r="J17" s="70">
        <v>7.5</v>
      </c>
      <c r="K17" s="70">
        <v>7.5</v>
      </c>
      <c r="L17" s="70">
        <v>7.5</v>
      </c>
      <c r="M17" s="70">
        <v>7.5</v>
      </c>
      <c r="N17" s="70">
        <v>8</v>
      </c>
      <c r="O17" s="70">
        <v>8</v>
      </c>
      <c r="P17" s="70">
        <v>8</v>
      </c>
      <c r="Q17" s="70">
        <v>0</v>
      </c>
      <c r="R17" s="70">
        <v>0</v>
      </c>
      <c r="S17" s="70">
        <f t="shared" si="1"/>
        <v>67.5</v>
      </c>
      <c r="T17" s="70">
        <f t="shared" si="2"/>
        <v>91.5</v>
      </c>
      <c r="U17" s="70">
        <v>90</v>
      </c>
      <c r="V17" s="71">
        <f t="shared" si="3"/>
        <v>0.75</v>
      </c>
      <c r="W17" s="199">
        <f t="shared" si="4"/>
        <v>1.0166666666666666</v>
      </c>
      <c r="X17" s="206"/>
      <c r="Y17" s="317"/>
    </row>
    <row r="18" spans="1:25" ht="15" x14ac:dyDescent="0.2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75" x14ac:dyDescent="0.2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16711.16</v>
      </c>
      <c r="J19" s="91">
        <f t="shared" si="5"/>
        <v>16718.86</v>
      </c>
      <c r="K19" s="91">
        <f t="shared" si="5"/>
        <v>16718.849999999999</v>
      </c>
      <c r="L19" s="91">
        <f t="shared" si="5"/>
        <v>27004.71</v>
      </c>
      <c r="M19" s="91">
        <f t="shared" si="5"/>
        <v>16885.419999999998</v>
      </c>
      <c r="N19" s="91">
        <f t="shared" si="5"/>
        <v>16630</v>
      </c>
      <c r="O19" s="91">
        <f t="shared" si="5"/>
        <v>16630</v>
      </c>
      <c r="P19" s="91">
        <f t="shared" si="5"/>
        <v>7164</v>
      </c>
      <c r="Q19" s="91">
        <f t="shared" si="5"/>
        <v>0</v>
      </c>
      <c r="R19" s="91">
        <f t="shared" si="5"/>
        <v>0</v>
      </c>
      <c r="S19" s="91">
        <f t="shared" si="5"/>
        <v>176767.61</v>
      </c>
      <c r="T19" s="91">
        <f t="shared" si="5"/>
        <v>217191.61</v>
      </c>
      <c r="U19" s="91">
        <f t="shared" si="5"/>
        <v>219647</v>
      </c>
      <c r="V19" s="92">
        <f>SUMIF($D$6:$R$6,$X$2,D19:R19)/U19</f>
        <v>0.8047804431656248</v>
      </c>
      <c r="W19" s="202">
        <f>T19/U19</f>
        <v>0.98882119947005875</v>
      </c>
      <c r="X19" s="184"/>
      <c r="Y19" s="14"/>
    </row>
    <row r="20" spans="1:25" ht="15" x14ac:dyDescent="0.2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75" x14ac:dyDescent="0.2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-16711.16</v>
      </c>
      <c r="J22" s="91">
        <f t="shared" si="6"/>
        <v>-16718.86</v>
      </c>
      <c r="K22" s="91">
        <f t="shared" si="6"/>
        <v>-16718.849999999999</v>
      </c>
      <c r="L22" s="91">
        <f t="shared" si="6"/>
        <v>-27004.71</v>
      </c>
      <c r="M22" s="91">
        <f t="shared" si="6"/>
        <v>-16885.419999999998</v>
      </c>
      <c r="N22" s="91">
        <f t="shared" si="6"/>
        <v>-16630</v>
      </c>
      <c r="O22" s="91">
        <f t="shared" si="6"/>
        <v>-16630</v>
      </c>
      <c r="P22" s="91">
        <f t="shared" si="6"/>
        <v>-7164</v>
      </c>
      <c r="Q22" s="91">
        <f t="shared" si="6"/>
        <v>0</v>
      </c>
      <c r="R22" s="91">
        <f t="shared" si="6"/>
        <v>0</v>
      </c>
      <c r="S22" s="91">
        <f t="shared" si="6"/>
        <v>-176767.61</v>
      </c>
      <c r="T22" s="91">
        <f t="shared" si="6"/>
        <v>-217191.61</v>
      </c>
      <c r="U22" s="91">
        <f t="shared" si="6"/>
        <v>0</v>
      </c>
      <c r="V22" s="406"/>
      <c r="W22" s="209"/>
      <c r="X22" s="184"/>
      <c r="Y22" s="14"/>
    </row>
    <row r="23" spans="1:25" ht="15.75" x14ac:dyDescent="0.2">
      <c r="A23" s="90" t="s">
        <v>296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75" x14ac:dyDescent="0.2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-99439.77</v>
      </c>
      <c r="J24" s="130">
        <f>I24+J22-J23</f>
        <v>-116158.63</v>
      </c>
      <c r="K24" s="130">
        <f t="shared" si="7"/>
        <v>-132877.48000000001</v>
      </c>
      <c r="L24" s="130">
        <f t="shared" si="7"/>
        <v>-159882.19</v>
      </c>
      <c r="M24" s="130">
        <f t="shared" si="7"/>
        <v>-176767.61</v>
      </c>
      <c r="N24" s="130">
        <f t="shared" si="7"/>
        <v>-193397.61</v>
      </c>
      <c r="O24" s="130">
        <f t="shared" si="7"/>
        <v>-210027.61</v>
      </c>
      <c r="P24" s="130">
        <f t="shared" si="7"/>
        <v>-217191.61</v>
      </c>
      <c r="Q24" s="130">
        <f t="shared" si="7"/>
        <v>-217191.61</v>
      </c>
      <c r="R24" s="130">
        <f t="shared" si="7"/>
        <v>-217191.61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25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36" x14ac:dyDescent="0.25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291</v>
      </c>
      <c r="W26" s="348" t="s">
        <v>292</v>
      </c>
      <c r="X26" s="184"/>
      <c r="Y26" s="106"/>
    </row>
    <row r="27" spans="1:25" ht="18" x14ac:dyDescent="0.25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312</v>
      </c>
      <c r="Q27" s="176" t="s">
        <v>289</v>
      </c>
      <c r="R27" s="340"/>
      <c r="S27" s="341"/>
      <c r="T27" s="174" t="s">
        <v>311</v>
      </c>
      <c r="U27" s="341"/>
      <c r="V27" s="175">
        <v>1</v>
      </c>
      <c r="W27" s="342">
        <v>1</v>
      </c>
      <c r="X27" s="184"/>
      <c r="Y27" s="106"/>
    </row>
    <row r="28" spans="1:25" ht="18" x14ac:dyDescent="0.25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315</v>
      </c>
      <c r="Q28" s="176" t="s">
        <v>289</v>
      </c>
      <c r="R28" s="340"/>
      <c r="S28" s="341"/>
      <c r="T28" s="366" t="s">
        <v>327</v>
      </c>
      <c r="U28" s="367"/>
      <c r="V28" s="175">
        <v>1</v>
      </c>
      <c r="W28" s="342">
        <v>1</v>
      </c>
      <c r="X28" s="184"/>
      <c r="Y28" s="106"/>
    </row>
    <row r="29" spans="1:25" ht="18" x14ac:dyDescent="0.2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25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290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25">
      <c r="A31" s="171">
        <v>101</v>
      </c>
      <c r="B31" s="168" t="s">
        <v>343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25">
      <c r="A32" s="171">
        <v>202</v>
      </c>
      <c r="B32" s="75" t="s">
        <v>313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25">
      <c r="A33" s="171">
        <v>205</v>
      </c>
      <c r="B33" s="75" t="s">
        <v>314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414</v>
      </c>
      <c r="B34" s="77" t="s">
        <v>352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25">
      <c r="A35" s="171">
        <v>510</v>
      </c>
      <c r="B35" s="77" t="s">
        <v>316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8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">
      <c r="B38" s="14"/>
      <c r="C38" s="14"/>
      <c r="D38" s="14"/>
      <c r="E38" s="14"/>
      <c r="F38" s="14"/>
      <c r="G38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5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342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3178.75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1305448.25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437545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2775172.07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1746172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1383541.83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1383541.83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7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10477.689999999999</v>
      </c>
      <c r="F16">
        <v>2</v>
      </c>
      <c r="G16" s="308"/>
      <c r="H16" s="307" t="str">
        <f t="shared" si="2"/>
        <v>ITD Reimbursements</v>
      </c>
      <c r="I16" s="312">
        <f t="shared" si="3"/>
        <v>319351.49000000005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12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3111.6</v>
      </c>
      <c r="F17">
        <v>3</v>
      </c>
      <c r="G17" s="308"/>
      <c r="H17" s="307" t="str">
        <f t="shared" si="2"/>
        <v>Gov Transfer Other Agencies</v>
      </c>
      <c r="I17" s="312">
        <f t="shared" si="3"/>
        <v>298410.51</v>
      </c>
      <c r="J17" s="303"/>
      <c r="K17" s="14"/>
      <c r="L17" s="14"/>
      <c r="M17" s="14"/>
      <c r="N17" s="14"/>
    </row>
    <row r="18" spans="1:14" x14ac:dyDescent="0.2">
      <c r="A18" s="308">
        <f t="shared" si="1"/>
        <v>8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7136.3600000000006</v>
      </c>
      <c r="F18">
        <v>4</v>
      </c>
      <c r="G18" s="308"/>
      <c r="H18" s="307" t="str">
        <f t="shared" si="2"/>
        <v>Rentals</v>
      </c>
      <c r="I18" s="312">
        <f t="shared" si="3"/>
        <v>47250</v>
      </c>
      <c r="J18" s="303"/>
      <c r="K18" s="14"/>
      <c r="L18" s="14"/>
      <c r="M18" s="14"/>
      <c r="N18" s="14"/>
    </row>
    <row r="19" spans="1:14" x14ac:dyDescent="0.2">
      <c r="A19" s="308">
        <f t="shared" si="1"/>
        <v>20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24718.93</v>
      </c>
      <c r="J19" s="303"/>
      <c r="K19" s="14"/>
      <c r="L19" s="14"/>
      <c r="M19" s="14"/>
      <c r="N19" s="14"/>
    </row>
    <row r="20" spans="1:14" x14ac:dyDescent="0.2">
      <c r="A20" s="308">
        <f t="shared" si="1"/>
        <v>20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10748.400000000001</v>
      </c>
      <c r="J20" s="303"/>
      <c r="K20" s="14"/>
      <c r="L20" s="14"/>
      <c r="M20" s="14"/>
      <c r="N20" s="14"/>
    </row>
    <row r="21" spans="1:14" x14ac:dyDescent="0.2">
      <c r="A21" s="308">
        <f t="shared" si="1"/>
        <v>19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172.75</v>
      </c>
      <c r="F21">
        <v>7</v>
      </c>
      <c r="G21" s="308"/>
      <c r="H21" s="307" t="str">
        <f t="shared" si="2"/>
        <v>In State Travel</v>
      </c>
      <c r="I21" s="312">
        <f t="shared" si="3"/>
        <v>10477.689999999999</v>
      </c>
      <c r="J21" s="303"/>
      <c r="K21" s="14"/>
      <c r="L21" s="14"/>
      <c r="M21" s="14"/>
      <c r="N21" s="14"/>
    </row>
    <row r="22" spans="1:14" x14ac:dyDescent="0.2">
      <c r="A22" s="308">
        <f t="shared" si="1"/>
        <v>20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Office Supplies</v>
      </c>
      <c r="I22" s="312">
        <f t="shared" si="3"/>
        <v>7136.3600000000006</v>
      </c>
      <c r="J22" s="303"/>
      <c r="K22" s="14"/>
      <c r="L22" s="14"/>
      <c r="M22" s="14"/>
      <c r="N22" s="14"/>
    </row>
    <row r="23" spans="1:14" x14ac:dyDescent="0.2">
      <c r="A23" s="308">
        <f t="shared" si="1"/>
        <v>9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3978.8550000000005</v>
      </c>
      <c r="G23" s="308"/>
      <c r="H23" s="307" t="s">
        <v>248</v>
      </c>
      <c r="I23" s="312">
        <f>I25-SUM(I15:I22)</f>
        <v>18958.045000000391</v>
      </c>
      <c r="J23" s="303"/>
      <c r="K23" s="14"/>
      <c r="L23" s="14"/>
      <c r="M23" s="14"/>
      <c r="N23" s="14"/>
    </row>
    <row r="24" spans="1:14" x14ac:dyDescent="0.2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10748.400000000001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47250</v>
      </c>
      <c r="G25" s="308"/>
      <c r="H25" s="307" t="s">
        <v>192</v>
      </c>
      <c r="I25" s="312">
        <f>D43</f>
        <v>2120593.2550000004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236</v>
      </c>
      <c r="C26" s="266" t="s">
        <v>237</v>
      </c>
      <c r="D26" s="9">
        <f>'Obligations vs Bgt'!E26</f>
        <v>2173.6099999999997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15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682.72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10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3531.3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20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17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315.79000000000002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11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3400.3800000000006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319351.49000000005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20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20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298410.51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20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20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189.99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381.05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24718.93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20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1020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2120593.2550000004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-374421.25500000035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654578.81499999959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275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286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229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230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9500 BOEE</vt:lpstr>
      <vt:lpstr>Expenditures Graph Data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2026-05-15 BOEE Tab C</dc:title>
  <dc:creator>Randall.Lagerblade@iowa.gov</dc:creator>
  <cp:lastModifiedBy>Albers, Lisa [IDOE]</cp:lastModifiedBy>
  <cp:lastPrinted>2024-09-05T21:15:09Z</cp:lastPrinted>
  <dcterms:created xsi:type="dcterms:W3CDTF">2015-04-28T12:49:55Z</dcterms:created>
  <dcterms:modified xsi:type="dcterms:W3CDTF">2026-05-08T18:18:27Z</dcterms:modified>
</cp:coreProperties>
</file>