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13_ncr:1_{A607DF5C-6C38-4C88-91A9-1351EB5D3316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R50" i="9" l="1"/>
  <c r="Q50" i="9"/>
  <c r="I50" i="9"/>
  <c r="K48" i="9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<sst xmlns="http://schemas.openxmlformats.org/spreadsheetml/2006/main" count="969" uniqueCount="363">
  <si>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</si>
  <si>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</si>
  <si>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</si>
  <si>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</si>
  <si>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</si>
  <si>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</si>
  <si>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</si>
  <si>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</si>
  <si>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</si>
  <si>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</si>
  <si>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</si>
  <si>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</si>
  <si>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</si>
  <si>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</si>
  <si>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</si>
  <si>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</si>
  <si>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</si>
  <si>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</si>
  <si>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</si>
  <si>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</si>
  <si>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</si>
  <si>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</si>
  <si>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</si>
  <si>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</si>
  <si>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</si>
  <si>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</si>
  <si>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</si>
  <si>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</si>
  <si>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</si>
  <si>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</si>
  <si>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</si>
  <si>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</si>
  <si>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</si>
  <si>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</si>
  <si>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</si>
  <si>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</si>
  <si>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</si>
  <si>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</si>
  <si>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</si>
  <si>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</si>
  <si>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</si>
  <si>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</si>
  <si>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</si>
  <si>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</si>
  <si>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</si>
  <si>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</si>
  <si>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</si>
  <si>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</si>
  <si>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</si>
  <si>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</si>
  <si>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</si>
  <si>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</si>
  <si>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</si>
  <si>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</si>
  <si>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</si>
  <si>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</si>
  <si>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</si>
  <si>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</si>
  <si>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</si>
  <si>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</si>
  <si>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</si>
  <si>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</si>
  <si>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</si>
  <si>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</si>
  <si>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</si>
  <si>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</si>
  <si>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</si>
  <si>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</si>
  <si>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</si>
  <si>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</si>
  <si>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</si>
  <si>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</si>
  <si>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</si>
  <si>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</si>
  <si>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</si>
  <si>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</si>
  <si>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</si>
  <si>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</si>
  <si>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</si>
  <si>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</si>
  <si>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</si>
  <si>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</si>
  <si>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</si>
  <si>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</si>
  <si>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</si>
  <si>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</si>
  <si>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</si>
  <si>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</si>
  <si>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</si>
  <si>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</si>
  <si>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</si>
  <si>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</si>
  <si>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</si>
  <si>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</si>
  <si>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</si>
  <si>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</si>
  <si>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</si>
  <si>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</si>
  <si>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</si>
  <si>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</si>
  <si>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</si>
  <si>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</si>
  <si>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</si>
  <si>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</si>
  <si>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</si>
  <si>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</si>
  <si>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</si>
  <si>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</si>
  <si>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</si>
  <si>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</si>
  <si>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</si>
  <si>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</si>
  <si>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</si>
  <si>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</si>
  <si>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</si>
  <si>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</si>
  <si>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</si>
  <si>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</si>
  <si>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</si>
  <si>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</si>
  <si>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</si>
  <si>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</si>
  <si>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</si>
  <si>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</si>
  <si>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</si>
  <si>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</si>
  <si>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</si>
  <si>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</si>
  <si>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</si>
  <si>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</si>
  <si>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</si>
  <si>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</si>
  <si>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</si>
  <si>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</si>
  <si>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</si>
  <si>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</si>
  <si>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</si>
  <si>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</si>
  <si>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</si>
  <si>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</si>
  <si>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</si>
  <si>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</si>
  <si>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</si>
  <si>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</si>
  <si>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</si>
  <si>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</si>
  <si>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</si>
  <si>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</si>
  <si>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</si>
  <si>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</si>
  <si>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</si>
  <si>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</si>
  <si>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</si>
  <si>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</si>
  <si>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</si>
  <si>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</si>
  <si>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</si>
  <si>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</si>
  <si>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</si>
  <si>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</si>
  <si>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</si>
  <si>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</si>
  <si>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</si>
  <si>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</si>
  <si>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</si>
  <si>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</si>
  <si>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</si>
  <si>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</si>
  <si>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</si>
  <si>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</si>
  <si>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</si>
  <si>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</si>
  <si>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</si>
  <si>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</si>
  <si>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</si>
  <si>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</si>
  <si>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</si>
  <si>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</si>
  <si>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</si>
  <si>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</si>
  <si>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</si>
  <si>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</si>
  <si>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</si>
  <si>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</si>
  <si>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</si>
  <si>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</si>
  <si>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</si>
  <si>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</si>
  <si>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</si>
  <si>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</si>
  <si>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</si>
  <si>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</si>
  <si>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</si>
  <si>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</si>
  <si>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</si>
  <si>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</si>
  <si>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</si>
  <si>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</si>
  <si>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</si>
  <si>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</si>
  <si>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</si>
  <si>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</si>
  <si>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</si>
  <si>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</si>
  <si>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</si>
  <si>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</si>
  <si>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</si>
  <si>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</si>
  <si>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</si>
  <si>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</si>
  <si>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</si>
  <si>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</si>
  <si>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</si>
  <si>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</si>
  <si>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</si>
  <si>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</si>
  <si>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</si>
  <si>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</si>
  <si>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</si>
  <si>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</si>
  <si>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</si>
  <si>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</si>
  <si>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</si>
  <si>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</si>
  <si>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</si>
  <si>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</si>
  <si>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</si>
  <si>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</si>
  <si>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</si>
  <si>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</si>
  <si>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</si>
  <si>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</si>
  <si>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</si>
  <si>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</si>
  <si>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</si>
  <si>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</si>
  <si>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</si>
  <si>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</si>
  <si>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</si>
  <si>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</si>
  <si>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</si>
  <si>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</si>
  <si>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</si>
  <si>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</si>
  <si>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</si>
  <si>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</si>
  <si>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</si>
  <si>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</si>
  <si>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</si>
  <si>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</si>
  <si>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</si>
  <si>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</si>
  <si>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</si>
  <si>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</si>
  <si>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</si>
  <si>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</si>
  <si>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</si>
  <si>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</si>
  <si>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</si>
  <si>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</si>
  <si>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</si>
  <si>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</si>
  <si>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</si>
  <si>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</si>
  <si>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</si>
  <si>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</si>
  <si>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</si>
  <si>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</si>
  <si>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</si>
  <si>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</si>
  <si>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</si>
  <si>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</si>
  <si>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</si>
  <si>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</si>
  <si>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</si>
  <si>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</si>
  <si>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</si>
  <si>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</si>
  <si>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</si>
  <si>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</si>
  <si>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</si>
  <si>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</si>
  <si>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</si>
  <si>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</si>
  <si>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</si>
  <si>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</si>
  <si>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</si>
  <si>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</si>
  <si>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</si>
  <si>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</si>
  <si>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</si>
  <si>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</si>
  <si>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</si>
  <si>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</si>
  <si>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</si>
  <si>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</si>
  <si>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</si>
  <si>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</si>
  <si>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</si>
  <si>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</si>
  <si>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</si>
  <si>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</si>
  <si>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</si>
  <si>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</si>
  <si>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</si>
  <si>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</si>
  <si>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</si>
  <si>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</si>
  <si>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</si>
  <si>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</si>
  <si>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</si>
  <si>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</si>
  <si>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</si>
  <si>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</si>
  <si>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</si>
  <si>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</si>
  <si>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</si>
  <si>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</si>
  <si>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</si>
  <si>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</si>
  <si>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</si>
  <si>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</si>
  <si>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</si>
  <si>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</si>
  <si>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</si>
  <si>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</si>
  <si>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</si>
  <si>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</si>
  <si>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</si>
  <si>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</si>
  <si>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</si>
  <si>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</si>
  <si>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</si>
  <si>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</si>
  <si>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</si>
  <si>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</si>
  <si>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</si>
  <si>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</si>
  <si>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</si>
  <si>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</si>
  <si>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</si>
  <si>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</si>
  <si>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</si>
  <si>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</si>
  <si>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</si>
  <si>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</si>
  <si>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</si>
  <si>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</si>
  <si>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58,000.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</si>
  <si>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</si>
  <si>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</si>
  <si>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</si>
  <si>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</si>
  <si>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</si>
  <si>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</si>
  <si>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</si>
  <si>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</si>
  <si>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</si>
  <si>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</si>
  <si>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</si>
  <si>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</si>
  <si>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t>Period 6- December 2025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</si>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</sst>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769432.51</c:v>
                </c:pt>
                <c:pt idx="1">
                  <c:v>5713.15</c:v>
                </c:pt>
                <c:pt idx="2">
                  <c:v>3111.6</c:v>
                </c:pt>
                <c:pt idx="3">
                  <c:v>6575.4900000000007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2344.8000000000002</c:v>
                </c:pt>
                <c:pt idx="9">
                  <c:v>7389.33</c:v>
                </c:pt>
                <c:pt idx="10">
                  <c:v>21000</c:v>
                </c:pt>
                <c:pt idx="11">
                  <c:v>966.06</c:v>
                </c:pt>
                <c:pt idx="12">
                  <c:v>359.76</c:v>
                </c:pt>
                <c:pt idx="13">
                  <c:v>2062.5500000000002</c:v>
                </c:pt>
                <c:pt idx="14">
                  <c:v>0</c:v>
                </c:pt>
                <c:pt idx="15">
                  <c:v>112.13</c:v>
                </c:pt>
                <c:pt idx="16">
                  <c:v>2815.35</c:v>
                </c:pt>
                <c:pt idx="17">
                  <c:v>243207.55000000002</c:v>
                </c:pt>
                <c:pt idx="18">
                  <c:v>0</c:v>
                </c:pt>
                <c:pt idx="19">
                  <c:v>171031.62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44.09</c:v>
                </c:pt>
                <c:pt idx="24">
                  <c:v>14327.87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Communications</c:v>
                </c:pt>
                <c:pt idx="6">
                  <c:v>Office Supplies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769432.51</c:v>
                </c:pt>
                <c:pt idx="1">
                  <c:v>243207.55000000002</c:v>
                </c:pt>
                <c:pt idx="2">
                  <c:v>171031.62</c:v>
                </c:pt>
                <c:pt idx="3">
                  <c:v>21000</c:v>
                </c:pt>
                <c:pt idx="4">
                  <c:v>14327.87</c:v>
                </c:pt>
                <c:pt idx="5">
                  <c:v>7389.33</c:v>
                </c:pt>
                <c:pt idx="6">
                  <c:v>6575.4900000000007</c:v>
                </c:pt>
                <c:pt idx="7">
                  <c:v>5713.15</c:v>
                </c:pt>
                <c:pt idx="8">
                  <c:v>12176.339999999851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398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398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249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333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46028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343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361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07">
        <f>'9397 BOEE'!P53</f>
        <v>1004342.6799999999</v>
      </c>
      <c r="F19" s="407">
        <v>1050000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8">
        <f>SUM(D19:D19)</f>
        <v>1004342.6799999999</v>
      </c>
      <c r="E20" s="409"/>
      <c r="F20" s="408">
        <f>SUM(F19:F19)</f>
        <v>1050000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342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354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356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346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0" t="s">
        <v>325</v>
      </c>
      <c r="C48" s="14"/>
      <c r="D48" s="411" t="s">
        <v>326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3080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159500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123000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120000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810754.25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58000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45500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258950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217500</v>
      </c>
      <c r="K17" s="101">
        <f t="shared" si="7"/>
        <v>168500</v>
      </c>
      <c r="L17" s="101">
        <f t="shared" si="7"/>
        <v>162000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1072784.25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136489.70000000001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136489.70000000001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136489.70000000001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769432.51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0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5713.15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6575.4900000000007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0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2344.8000000000002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7389.33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21000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359.76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0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2062.5500000000002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112.13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0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2815.35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0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243207.55000000002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28998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4833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4833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0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171031.62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44.09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0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14327.87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360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175987.7</v>
      </c>
      <c r="K50" s="101">
        <f t="shared" si="25"/>
        <v>146572.70000000001</v>
      </c>
      <c r="L50" s="101">
        <f t="shared" si="25"/>
        <v>146572.70000000001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71236.58</v>
      </c>
      <c r="Q50" s="101">
        <f t="shared" si="25"/>
        <v>0</v>
      </c>
      <c r="R50" s="101">
        <f t="shared" si="25"/>
        <v>0</v>
      </c>
      <c r="S50" s="101">
        <f t="shared" si="25"/>
        <v>1249887.8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41512.299999999988</v>
      </c>
      <c r="K52" s="101">
        <f t="shared" si="26"/>
        <v>21927.299999999988</v>
      </c>
      <c r="L52" s="101">
        <f t="shared" si="26"/>
        <v>15427.299999999988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-71236.58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-35591.250000000087</v>
      </c>
      <c r="K53" s="130">
        <f t="shared" ref="K53" si="28">J53+K52</f>
        <v>-13663.950000000099</v>
      </c>
      <c r="L53" s="130">
        <f t="shared" ref="L53" si="29">K53+L52</f>
        <v>1763.3499999998894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355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</v>
      </c>
      <c r="W3" s="48"/>
    </row>
    <row r="4" spans="1:28" s="1" customFormat="1" ht="18" customHeight="1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344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-950000</v>
      </c>
      <c r="R9" s="195"/>
      <c r="S9" s="415">
        <f>SUMIF($D$6:$R$6,$X$2,D9:R9)</f>
        <v>0</v>
      </c>
      <c r="T9" s="414">
        <f>SUM(D9:R9)</f>
        <v>-1050000</v>
      </c>
      <c r="U9" s="379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3080</v>
      </c>
      <c r="T11" s="70">
        <f>SUM(D11:R11)</f>
        <v>3080</v>
      </c>
      <c r="U11" s="70">
        <v>500</v>
      </c>
      <c r="V11" s="199">
        <f>IF(U11=0,0,SUMIF($D$6:$R$6,$X$2,D11:R11)/U11)</f>
        <v>6.16</v>
      </c>
      <c r="W11" s="199">
        <f>IF(U11=0,0,T11/U11)</f>
        <v>6.16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159500</v>
      </c>
      <c r="K12" s="198">
        <v>123000</v>
      </c>
      <c r="L12" s="198">
        <v>120000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810754.25</v>
      </c>
      <c r="T12" s="70">
        <f>SUM(D12:R12)</f>
        <v>1752254.25</v>
      </c>
      <c r="U12" s="70">
        <v>1800000</v>
      </c>
      <c r="V12" s="199">
        <f>IF(U12=0,0,SUMIF($D$6:$R$6,$X$2,D12:R12)/U12)</f>
        <v>0.45041902777777776</v>
      </c>
      <c r="W12" s="199">
        <f>IF(U12=0,0,T12/U12)</f>
        <v>0.97347458333333337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58000</v>
      </c>
      <c r="K14" s="198">
        <v>45500</v>
      </c>
      <c r="L14" s="198">
        <v>42000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258950</v>
      </c>
      <c r="T14" s="70">
        <f>SUM(D14:R14)</f>
        <v>556950</v>
      </c>
      <c r="U14" s="70">
        <v>590000</v>
      </c>
      <c r="V14" s="199">
        <f>IF(U14=0,0,SUMIF($D$6:$R$6,$X$2,D14:R14)/U14)</f>
        <v>0.43889830508474575</v>
      </c>
      <c r="W14" s="199">
        <f>IF(U14=0,0,T14/U14)</f>
        <v>0.94398305084745759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217500</v>
      </c>
      <c r="K16" s="91">
        <f t="shared" si="0"/>
        <v>168500</v>
      </c>
      <c r="L16" s="91">
        <f t="shared" si="0"/>
        <v>162000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-950000</v>
      </c>
      <c r="R16" s="201">
        <f>SUM(R8:R15)</f>
        <v>0</v>
      </c>
      <c r="S16" s="201">
        <f t="shared" ref="S16:U16" si="1">SUM(S8:S15)</f>
        <v>2101784.3199999998</v>
      </c>
      <c r="T16" s="91">
        <f t="shared" si="1"/>
        <v>2291284.3199999998</v>
      </c>
      <c r="U16" s="91">
        <f t="shared" si="1"/>
        <v>2862962</v>
      </c>
      <c r="V16" s="202">
        <f>SUMIF($D$6:$R$6,$X$2,D16:R16)/U16</f>
        <v>0.73412931083262711</v>
      </c>
      <c r="W16" s="202">
        <f>T16/U16</f>
        <v>0.80031950127175977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136489.70000000001</v>
      </c>
      <c r="K19" s="70">
        <v>136489.70000000001</v>
      </c>
      <c r="L19" s="70">
        <v>136489.70000000001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769432.51</v>
      </c>
      <c r="T19" s="70">
        <f t="shared" ref="T19:T42" si="3">SUM(D19:R19)</f>
        <v>1649524.2899999998</v>
      </c>
      <c r="U19" s="70">
        <v>1774366</v>
      </c>
      <c r="V19" s="199">
        <f>IF(U19=0,0,SUMIF($D$6:$R$6,$X$2,D19:R19)/U19)</f>
        <v>0.43363799238713996</v>
      </c>
      <c r="W19" s="199">
        <f>IF(U19=0,0,T19/U19)</f>
        <v>0.92964151139054729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5713.15</v>
      </c>
      <c r="T20" s="70">
        <f t="shared" si="3"/>
        <v>5713.15</v>
      </c>
      <c r="U20" s="198">
        <v>15000</v>
      </c>
      <c r="V20" s="199">
        <f t="shared" ref="V20:V42" si="4">IF(U20=0,0,SUMIF($D$6:$R$6,$X$2,D20:R20)/U20)</f>
        <v>0.38087666666666664</v>
      </c>
      <c r="W20" s="199">
        <f t="shared" ref="W20:W42" si="5">IF(U20=0,0,T20/U20)</f>
        <v>0.38087666666666664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6575.4900000000007</v>
      </c>
      <c r="T22" s="70">
        <f t="shared" si="3"/>
        <v>12575.490000000002</v>
      </c>
      <c r="U22" s="198">
        <v>10000</v>
      </c>
      <c r="V22" s="199">
        <f t="shared" si="4"/>
        <v>0.65754900000000005</v>
      </c>
      <c r="W22" s="199">
        <f t="shared" si="5"/>
        <v>1.2575490000000002</v>
      </c>
      <c r="X22" s="206"/>
      <c r="Y22" s="317"/>
    </row>
    <row r="23" spans="1:28" s="14" customFormat="1" x14ac:dyDescent="0.2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2344.8000000000002</v>
      </c>
      <c r="T27" s="70">
        <f t="shared" si="3"/>
        <v>2344.8000000000002</v>
      </c>
      <c r="U27" s="198">
        <v>8000</v>
      </c>
      <c r="V27" s="199">
        <f t="shared" si="4"/>
        <v>0.29310000000000003</v>
      </c>
      <c r="W27" s="199">
        <f t="shared" si="5"/>
        <v>0.29310000000000003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7389.33</v>
      </c>
      <c r="T28" s="70">
        <f t="shared" si="3"/>
        <v>7389.33</v>
      </c>
      <c r="U28" s="198">
        <v>15000</v>
      </c>
      <c r="V28" s="199">
        <f t="shared" si="4"/>
        <v>0.492622</v>
      </c>
      <c r="W28" s="199">
        <f t="shared" si="5"/>
        <v>0.492622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21000</v>
      </c>
      <c r="T29" s="70">
        <f t="shared" si="3"/>
        <v>63000</v>
      </c>
      <c r="U29" s="198">
        <v>72000</v>
      </c>
      <c r="V29" s="199">
        <f t="shared" si="4"/>
        <v>0.29166666666666669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966.06</v>
      </c>
      <c r="T30" s="70">
        <f t="shared" ref="T30" si="19">SUM(D30:R30)</f>
        <v>966.06</v>
      </c>
      <c r="U30" s="198">
        <v>4000.25</v>
      </c>
      <c r="V30" s="199">
        <f t="shared" ref="V30" si="20">IF(U30=0,0,SUMIF($D$6:$R$6,$X$2,D30:R30)/U30)</f>
        <v>0.24149990625585899</v>
      </c>
      <c r="W30" s="199">
        <f t="shared" ref="W30" si="21">IF(U30=0,0,T30/U30)</f>
        <v>0.24149990625585899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359.76</v>
      </c>
      <c r="T31" s="70">
        <f t="shared" si="3"/>
        <v>359.76</v>
      </c>
      <c r="U31" s="198">
        <v>5000</v>
      </c>
      <c r="V31" s="199">
        <f t="shared" si="4"/>
        <v>7.1952000000000002E-2</v>
      </c>
      <c r="W31" s="199">
        <f t="shared" si="5"/>
        <v>7.1952000000000002E-2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2062.5500000000002</v>
      </c>
      <c r="T32" s="70">
        <f t="shared" si="3"/>
        <v>2062.5500000000002</v>
      </c>
      <c r="U32" s="198">
        <v>5000</v>
      </c>
      <c r="V32" s="199">
        <f t="shared" si="4"/>
        <v>0.41251000000000004</v>
      </c>
      <c r="W32" s="199">
        <f t="shared" si="5"/>
        <v>0.41251000000000004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112.13</v>
      </c>
      <c r="T34" s="70">
        <f t="shared" si="3"/>
        <v>112.13</v>
      </c>
      <c r="U34" s="198">
        <v>1000</v>
      </c>
      <c r="V34" s="199">
        <f t="shared" si="4"/>
        <v>0.11212999999999999</v>
      </c>
      <c r="W34" s="199">
        <f t="shared" si="5"/>
        <v>0.11212999999999999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2815.35</v>
      </c>
      <c r="T35" s="70">
        <f t="shared" si="3"/>
        <v>2815.35</v>
      </c>
      <c r="U35" s="70">
        <v>10000</v>
      </c>
      <c r="V35" s="199">
        <f t="shared" si="4"/>
        <v>0.28153499999999998</v>
      </c>
      <c r="W35" s="199">
        <f t="shared" si="5"/>
        <v>0.28153499999999998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243207.55000000002</v>
      </c>
      <c r="T36" s="70">
        <f t="shared" si="3"/>
        <v>243207.55000000002</v>
      </c>
      <c r="U36" s="70">
        <v>410621</v>
      </c>
      <c r="V36" s="199">
        <f t="shared" si="4"/>
        <v>0.59229204059217633</v>
      </c>
      <c r="W36" s="199">
        <f t="shared" si="5"/>
        <v>0.59229204059217633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28998</v>
      </c>
      <c r="K38" s="70">
        <v>4833</v>
      </c>
      <c r="L38" s="70">
        <v>4833</v>
      </c>
      <c r="M38" s="70">
        <v>4833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171031.62</v>
      </c>
      <c r="T39" s="70">
        <f t="shared" si="3"/>
        <v>171031.62</v>
      </c>
      <c r="U39" s="70">
        <v>324259</v>
      </c>
      <c r="V39" s="199">
        <f t="shared" si="4"/>
        <v>0.52745373297271625</v>
      </c>
      <c r="W39" s="199">
        <f t="shared" si="5"/>
        <v>0.52745373297271625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44.09</v>
      </c>
      <c r="T43" s="70">
        <f t="shared" ref="T43:T46" si="31">SUM(D43:R43)</f>
        <v>44.09</v>
      </c>
      <c r="U43" s="198">
        <v>5000</v>
      </c>
      <c r="V43" s="199">
        <f t="shared" ref="V43:V46" si="32">IF(U43=0,0,SUMIF($D$6:$R$6,$X$2,D43:R43)/U43)</f>
        <v>8.8180000000000012E-3</v>
      </c>
      <c r="W43" s="199">
        <f t="shared" ref="W43:W46" si="33">IF(U43=0,0,T43/U43)</f>
        <v>8.8180000000000012E-3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14327.87</v>
      </c>
      <c r="T44" s="70">
        <f t="shared" si="31"/>
        <v>14327.87</v>
      </c>
      <c r="U44" s="198">
        <v>30000</v>
      </c>
      <c r="V44" s="199">
        <f t="shared" si="32"/>
        <v>0.4775956666666667</v>
      </c>
      <c r="W44" s="199">
        <f t="shared" si="33"/>
        <v>0.4775956666666667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360</v>
      </c>
      <c r="T46" s="70">
        <f t="shared" si="31"/>
        <v>360</v>
      </c>
      <c r="U46" s="198">
        <v>5000</v>
      </c>
      <c r="V46" s="199">
        <f t="shared" si="32"/>
        <v>7.1999999999999995E-2</v>
      </c>
      <c r="W46" s="199">
        <f t="shared" si="33"/>
        <v>7.1999999999999995E-2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175987.7</v>
      </c>
      <c r="K48" s="201">
        <f t="shared" si="38"/>
        <v>146572.70000000001</v>
      </c>
      <c r="L48" s="201">
        <f t="shared" si="38"/>
        <v>146572.70000000001</v>
      </c>
      <c r="M48" s="201">
        <f t="shared" si="38"/>
        <v>146572.70000000001</v>
      </c>
      <c r="N48" s="201">
        <f t="shared" si="38"/>
        <v>152572.70000000001</v>
      </c>
      <c r="O48" s="201">
        <f t="shared" si="38"/>
        <v>146572.70000000001</v>
      </c>
      <c r="P48" s="201">
        <f t="shared" si="38"/>
        <v>71236.58</v>
      </c>
      <c r="Q48" s="201">
        <f t="shared" si="38"/>
        <v>0</v>
      </c>
      <c r="R48" s="201">
        <f t="shared" si="38"/>
        <v>0</v>
      </c>
      <c r="S48" s="201">
        <f t="shared" si="38"/>
        <v>1250853.8600000001</v>
      </c>
      <c r="T48" s="91">
        <f t="shared" si="38"/>
        <v>2236941.64</v>
      </c>
      <c r="U48" s="201">
        <f t="shared" si="38"/>
        <v>2842945.92</v>
      </c>
      <c r="V48" s="202">
        <f>SUMIF($D$6:$R$6,$X$2,D48:R48)/U48</f>
        <v>0.43998510530935464</v>
      </c>
      <c r="W48" s="202">
        <f>T48/U48</f>
        <v>0.78683932193828021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41512.299999999988</v>
      </c>
      <c r="K51" s="201">
        <f t="shared" si="39"/>
        <v>21927.299999999988</v>
      </c>
      <c r="L51" s="201">
        <f t="shared" si="39"/>
        <v>15427.299999999988</v>
      </c>
      <c r="M51" s="201">
        <f t="shared" si="39"/>
        <v>40427.299999999988</v>
      </c>
      <c r="N51" s="201">
        <f t="shared" si="39"/>
        <v>62427.299999999988</v>
      </c>
      <c r="O51" s="201">
        <f t="shared" si="39"/>
        <v>142927.29999999999</v>
      </c>
      <c r="P51" s="201">
        <f t="shared" si="39"/>
        <v>-171236.58000000002</v>
      </c>
      <c r="Q51" s="201">
        <f t="shared" si="39"/>
        <v>-950000</v>
      </c>
      <c r="R51" s="201">
        <f t="shared" si="39"/>
        <v>0</v>
      </c>
      <c r="S51" s="201">
        <f t="shared" si="39"/>
        <v>850930.45999999973</v>
      </c>
      <c r="T51" s="91">
        <f t="shared" si="39"/>
        <v>54342.679999999702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301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892442.75999999978</v>
      </c>
      <c r="K53" s="210">
        <f t="shared" si="40"/>
        <v>914370.05999999982</v>
      </c>
      <c r="L53" s="210">
        <f t="shared" si="40"/>
        <v>929797.35999999987</v>
      </c>
      <c r="M53" s="210">
        <f t="shared" si="40"/>
        <v>970224.65999999992</v>
      </c>
      <c r="N53" s="210">
        <f t="shared" si="40"/>
        <v>1032651.96</v>
      </c>
      <c r="O53" s="210">
        <f t="shared" si="40"/>
        <v>1175579.26</v>
      </c>
      <c r="P53" s="210">
        <f t="shared" si="40"/>
        <v>1004342.6799999999</v>
      </c>
      <c r="Q53" s="210">
        <f t="shared" si="40"/>
        <v>54342.679999999935</v>
      </c>
      <c r="R53" s="210">
        <f t="shared" si="40"/>
        <v>54342.679999999935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25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359</v>
      </c>
      <c r="N57" s="238"/>
      <c r="O57" s="170"/>
      <c r="P57" s="339" t="s">
        <v>266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78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347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358</v>
      </c>
      <c r="N60" s="364"/>
      <c r="O60" s="174"/>
      <c r="P60" s="343" t="s">
        <v>263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339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78" t="s">
        <v>357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335</v>
      </c>
      <c r="M64" s="78" t="s">
        <v>329</v>
      </c>
      <c r="N64" s="365"/>
      <c r="O64" s="181"/>
      <c r="P64" s="330" t="s">
        <v>270</v>
      </c>
      <c r="Q64" s="175" t="s">
        <v>157</v>
      </c>
      <c r="R64" s="340"/>
      <c r="S64" s="341"/>
      <c r="T64" s="78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78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336</v>
      </c>
      <c r="M66" s="78" t="s">
        <v>331</v>
      </c>
      <c r="N66" s="364"/>
      <c r="O66" s="164"/>
      <c r="P66" s="330" t="s">
        <v>272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340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360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337</v>
      </c>
      <c r="M68" s="78" t="s">
        <v>332</v>
      </c>
      <c r="N68" s="365"/>
      <c r="O68" s="164"/>
      <c r="P68" s="330" t="s">
        <v>273</v>
      </c>
      <c r="Q68" s="175" t="s">
        <v>162</v>
      </c>
      <c r="R68" s="340"/>
      <c r="S68" s="341"/>
      <c r="T68" s="78" t="s">
        <v>299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348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338</v>
      </c>
      <c r="M69" s="413" t="s">
        <v>341</v>
      </c>
      <c r="N69" s="240"/>
      <c r="O69" s="164"/>
      <c r="P69" s="330" t="s">
        <v>274</v>
      </c>
      <c r="Q69" s="175" t="s">
        <v>163</v>
      </c>
      <c r="R69" s="340"/>
      <c r="S69" s="341"/>
      <c r="T69" s="366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353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323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289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3080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0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810754.25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258950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0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1072784.25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" x14ac:dyDescent="0.2">
      <c r="A19" s="37" t="s">
        <v>222</v>
      </c>
      <c r="B19" s="37" t="s">
        <v>328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32492.5</v>
      </c>
      <c r="J19" s="382">
        <v>0</v>
      </c>
      <c r="K19" s="382">
        <v>0</v>
      </c>
      <c r="L19" s="382">
        <v>0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255283.75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32492.5</v>
      </c>
      <c r="J21" s="374">
        <f t="shared" si="4"/>
        <v>0</v>
      </c>
      <c r="K21" s="374">
        <f t="shared" si="4"/>
        <v>0</v>
      </c>
      <c r="L21" s="374">
        <f t="shared" si="4"/>
        <v>0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255283.75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0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1328068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 t="str">
        <f>IF(J6="Actual",SUM($D23:J23)/SUM($D50:J50)-1,"")</f>
        <v/>
      </c>
      <c r="K25" s="352" t="str">
        <f>IF(K6="Actual",SUM($D23:K23)/SUM($D50:K50)-1,"")</f>
        <v/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345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" x14ac:dyDescent="0.2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.5" thickBot="1" x14ac:dyDescent="0.3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A5" sqref="A5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349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350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330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3080</v>
      </c>
      <c r="D8" s="9"/>
      <c r="E8" s="271">
        <f t="shared" ref="E8:E10" si="1">C8+D8</f>
        <v>3080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810754.25</v>
      </c>
      <c r="D9" s="9"/>
      <c r="E9" s="271">
        <f t="shared" si="1"/>
        <v>810754.25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258950</v>
      </c>
      <c r="D10" s="9"/>
      <c r="E10" s="271">
        <f t="shared" si="1"/>
        <v>258950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2101784.3199999998</v>
      </c>
      <c r="D11" s="281">
        <f t="shared" ref="D11" si="3">SUM(D6:D10)</f>
        <v>0</v>
      </c>
      <c r="E11" s="281">
        <f t="shared" si="2"/>
        <v>2101784.3199999998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1072784.25</v>
      </c>
      <c r="D12" s="283">
        <f>SUM(D8:D10)</f>
        <v>0</v>
      </c>
      <c r="E12" s="283">
        <f>SUM(E8:E10)</f>
        <v>1072784.25</v>
      </c>
      <c r="F12" s="283"/>
      <c r="G12" s="284">
        <f>SUM(G8:G10)</f>
        <v>2390500</v>
      </c>
      <c r="H12" s="285">
        <f>G12-E12</f>
        <v>1317715.75</v>
      </c>
      <c r="I12" s="274">
        <f>IF(G12=0,0,E12/G12)</f>
        <v>0.4487698180297009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769432.51</v>
      </c>
      <c r="D15" s="9"/>
      <c r="E15" s="271">
        <f t="shared" ref="E15:E42" si="4">C15+D15</f>
        <v>769432.51</v>
      </c>
      <c r="F15" s="271"/>
      <c r="G15" s="273">
        <f>'9397 BOEE'!U19</f>
        <v>1774366</v>
      </c>
      <c r="H15" s="9">
        <f>G15-E15</f>
        <v>1004933.49</v>
      </c>
      <c r="I15" s="274">
        <f t="shared" ref="I15:I43" si="5">IF(G15=0,0,E15/G15)</f>
        <v>0.43363799238713996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5713.15</v>
      </c>
      <c r="D16" s="9"/>
      <c r="E16" s="271">
        <f t="shared" si="4"/>
        <v>5713.15</v>
      </c>
      <c r="F16" s="271"/>
      <c r="G16" s="273">
        <f>'9397 BOEE'!U20</f>
        <v>15000</v>
      </c>
      <c r="H16" s="9">
        <f t="shared" ref="H16:H42" si="6">G16-D16-C16</f>
        <v>9286.85</v>
      </c>
      <c r="I16" s="274">
        <f t="shared" si="5"/>
        <v>0.38087666666666664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6575.4900000000007</v>
      </c>
      <c r="D18" s="9"/>
      <c r="E18" s="271">
        <f t="shared" si="4"/>
        <v>6575.4900000000007</v>
      </c>
      <c r="F18" s="271"/>
      <c r="G18" s="273">
        <f>'9397 BOEE'!U22</f>
        <v>10000</v>
      </c>
      <c r="H18" s="9">
        <f t="shared" si="6"/>
        <v>3424.5099999999993</v>
      </c>
      <c r="I18" s="274">
        <f t="shared" si="5"/>
        <v>0.65754900000000005</v>
      </c>
    </row>
    <row r="19" spans="1:9" x14ac:dyDescent="0.2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2344.8000000000002</v>
      </c>
      <c r="D23" s="9"/>
      <c r="E23" s="271">
        <f t="shared" si="4"/>
        <v>2344.8000000000002</v>
      </c>
      <c r="F23" s="271"/>
      <c r="G23" s="273">
        <f>'9397 BOEE'!U27</f>
        <v>8000</v>
      </c>
      <c r="H23" s="9">
        <f t="shared" si="6"/>
        <v>5655.2</v>
      </c>
      <c r="I23" s="274">
        <f t="shared" si="5"/>
        <v>0.29310000000000003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7389.33</v>
      </c>
      <c r="D24" s="9"/>
      <c r="E24" s="271">
        <f t="shared" si="4"/>
        <v>7389.33</v>
      </c>
      <c r="F24" s="271"/>
      <c r="G24" s="273">
        <f>'9397 BOEE'!U28</f>
        <v>15000</v>
      </c>
      <c r="H24" s="9">
        <f t="shared" si="6"/>
        <v>7610.67</v>
      </c>
      <c r="I24" s="274">
        <f t="shared" si="5"/>
        <v>0.492622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21000</v>
      </c>
      <c r="D25" s="9"/>
      <c r="E25" s="271">
        <f t="shared" si="4"/>
        <v>21000</v>
      </c>
      <c r="F25" s="271"/>
      <c r="G25" s="273">
        <f>'9397 BOEE'!U29</f>
        <v>72000</v>
      </c>
      <c r="H25" s="9">
        <f t="shared" si="6"/>
        <v>51000</v>
      </c>
      <c r="I25" s="274">
        <f t="shared" si="5"/>
        <v>0.29166666666666669</v>
      </c>
    </row>
    <row r="26" spans="1:9" x14ac:dyDescent="0.2">
      <c r="A26" s="267" t="s">
        <v>236</v>
      </c>
      <c r="B26" s="266" t="s">
        <v>237</v>
      </c>
      <c r="C26" s="9">
        <f>'9397 BOEE'!S30</f>
        <v>966.06</v>
      </c>
      <c r="D26" s="9"/>
      <c r="E26" s="271">
        <f t="shared" ref="E26" si="11">C26+D26</f>
        <v>966.06</v>
      </c>
      <c r="F26" s="271"/>
      <c r="G26" s="273">
        <f>'9397 BOEE'!U30</f>
        <v>4000.25</v>
      </c>
      <c r="H26" s="9">
        <f t="shared" ref="H26" si="12">G26-D26-C26</f>
        <v>3034.19</v>
      </c>
      <c r="I26" s="274">
        <f t="shared" si="5"/>
        <v>0.24149990625585899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359.76</v>
      </c>
      <c r="D27" s="9"/>
      <c r="E27" s="271">
        <f t="shared" si="4"/>
        <v>359.76</v>
      </c>
      <c r="F27" s="271"/>
      <c r="G27" s="273">
        <f>'9397 BOEE'!U31</f>
        <v>5000</v>
      </c>
      <c r="H27" s="9">
        <f t="shared" si="6"/>
        <v>4640.24</v>
      </c>
      <c r="I27" s="274">
        <f t="shared" si="5"/>
        <v>7.1952000000000002E-2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2062.5500000000002</v>
      </c>
      <c r="D28" s="9"/>
      <c r="E28" s="271">
        <f t="shared" si="4"/>
        <v>2062.5500000000002</v>
      </c>
      <c r="F28" s="271"/>
      <c r="G28" s="273">
        <f>'9397 BOEE'!U32</f>
        <v>5000</v>
      </c>
      <c r="H28" s="9">
        <f t="shared" si="6"/>
        <v>2937.45</v>
      </c>
      <c r="I28" s="274">
        <f t="shared" si="5"/>
        <v>0.41251000000000004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112.13</v>
      </c>
      <c r="D30" s="9"/>
      <c r="E30" s="271">
        <f t="shared" si="4"/>
        <v>112.13</v>
      </c>
      <c r="F30" s="271"/>
      <c r="G30" s="273">
        <f>'9397 BOEE'!U34</f>
        <v>1000</v>
      </c>
      <c r="H30" s="9">
        <f t="shared" si="6"/>
        <v>887.87</v>
      </c>
      <c r="I30" s="274">
        <f t="shared" si="5"/>
        <v>0.11212999999999999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2815.35</v>
      </c>
      <c r="D31" s="9"/>
      <c r="E31" s="271">
        <f t="shared" si="4"/>
        <v>2815.35</v>
      </c>
      <c r="F31" s="271"/>
      <c r="G31" s="273">
        <f>'9397 BOEE'!U35</f>
        <v>10000</v>
      </c>
      <c r="H31" s="9">
        <f t="shared" si="6"/>
        <v>7184.65</v>
      </c>
      <c r="I31" s="274">
        <f t="shared" si="5"/>
        <v>0.28153499999999998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243207.55000000002</v>
      </c>
      <c r="D32" s="9"/>
      <c r="E32" s="271">
        <f t="shared" si="4"/>
        <v>243207.55000000002</v>
      </c>
      <c r="F32" s="271"/>
      <c r="G32" s="273">
        <f>'9397 BOEE'!U36</f>
        <v>410621</v>
      </c>
      <c r="H32" s="9">
        <f t="shared" si="6"/>
        <v>167413.44999999998</v>
      </c>
      <c r="I32" s="274">
        <f t="shared" si="5"/>
        <v>0.59229204059217633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171031.62</v>
      </c>
      <c r="D35" s="9"/>
      <c r="E35" s="271">
        <f t="shared" si="4"/>
        <v>171031.62</v>
      </c>
      <c r="F35" s="271"/>
      <c r="G35" s="273">
        <f>'9397 BOEE'!U39</f>
        <v>324259</v>
      </c>
      <c r="H35" s="9">
        <f t="shared" si="6"/>
        <v>153227.38</v>
      </c>
      <c r="I35" s="274">
        <f t="shared" si="5"/>
        <v>0.52745373297271625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44.09</v>
      </c>
      <c r="D39" s="9"/>
      <c r="E39" s="271">
        <f t="shared" si="4"/>
        <v>44.09</v>
      </c>
      <c r="F39" s="271"/>
      <c r="G39" s="273">
        <f>'9397 BOEE'!U43</f>
        <v>5000</v>
      </c>
      <c r="H39" s="9">
        <f t="shared" si="6"/>
        <v>4955.91</v>
      </c>
      <c r="I39" s="274">
        <f t="shared" si="5"/>
        <v>8.8180000000000012E-3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14327.87</v>
      </c>
      <c r="D40" s="9"/>
      <c r="E40" s="271">
        <f t="shared" si="4"/>
        <v>14327.87</v>
      </c>
      <c r="F40" s="271"/>
      <c r="G40" s="273">
        <f>'9397 BOEE'!U44</f>
        <v>30000</v>
      </c>
      <c r="H40" s="9">
        <f t="shared" si="6"/>
        <v>15672.13</v>
      </c>
      <c r="I40" s="274">
        <f t="shared" si="5"/>
        <v>0.4775956666666667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360</v>
      </c>
      <c r="D42" s="9"/>
      <c r="E42" s="271">
        <f t="shared" si="4"/>
        <v>360</v>
      </c>
      <c r="F42" s="271"/>
      <c r="G42" s="273">
        <f>'9397 BOEE'!U46</f>
        <v>5000</v>
      </c>
      <c r="H42" s="9">
        <f t="shared" si="6"/>
        <v>4640</v>
      </c>
      <c r="I42" s="274">
        <f t="shared" si="5"/>
        <v>7.1999999999999995E-2</v>
      </c>
    </row>
    <row r="43" spans="1:9" x14ac:dyDescent="0.2">
      <c r="A43" s="266"/>
      <c r="B43" s="268" t="s">
        <v>192</v>
      </c>
      <c r="C43" s="280">
        <f>SUM(C15:C42)</f>
        <v>1250853.8600000001</v>
      </c>
      <c r="D43" s="280">
        <f>SUM(D15:D42)</f>
        <v>0</v>
      </c>
      <c r="E43" s="280">
        <f>SUM(E15:E42)</f>
        <v>1250853.8600000001</v>
      </c>
      <c r="F43" s="280"/>
      <c r="G43" s="280">
        <f>SUM(G15:G42)</f>
        <v>2842945.92</v>
      </c>
      <c r="H43" s="280">
        <f>SUM(H15:H42)</f>
        <v>1592092.0599999994</v>
      </c>
      <c r="I43" s="274">
        <f t="shared" si="5"/>
        <v>0.43998510530935464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-178069.6100000001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850930.45999999985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317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</v>
      </c>
      <c r="W3" s="48"/>
      <c r="X3" s="1"/>
      <c r="Y3" s="1"/>
    </row>
    <row r="4" spans="1:25" ht="15.75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344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327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16622</v>
      </c>
      <c r="K14" s="70">
        <v>16622</v>
      </c>
      <c r="L14" s="70">
        <v>24933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99402.27</v>
      </c>
      <c r="T14" s="70">
        <f t="shared" ref="T14:T17" si="2">SUM(D14:R14)</f>
        <v>214601.27000000002</v>
      </c>
      <c r="U14" s="70">
        <v>216099</v>
      </c>
      <c r="V14" s="71">
        <f>IF(U14=0,0,SUMIF($D$6:$R$6,$X$2,D14:R14)/U14)</f>
        <v>0.45998486804658978</v>
      </c>
      <c r="W14" s="199">
        <f>IF(U14=0,0,T14/U14)</f>
        <v>0.99306924141250086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4</v>
      </c>
      <c r="K17" s="70">
        <v>4</v>
      </c>
      <c r="L17" s="70">
        <v>4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37.5</v>
      </c>
      <c r="T17" s="70">
        <f t="shared" si="2"/>
        <v>65.5</v>
      </c>
      <c r="U17" s="70">
        <v>48</v>
      </c>
      <c r="V17" s="71">
        <f t="shared" si="3"/>
        <v>0.78125</v>
      </c>
      <c r="W17" s="199">
        <f t="shared" si="4"/>
        <v>1.3645833333333333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16626</v>
      </c>
      <c r="K19" s="91">
        <f t="shared" si="5"/>
        <v>16626</v>
      </c>
      <c r="L19" s="91">
        <f t="shared" si="5"/>
        <v>24937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99439.77</v>
      </c>
      <c r="T19" s="91">
        <f t="shared" si="5"/>
        <v>214666.77000000002</v>
      </c>
      <c r="U19" s="91">
        <f t="shared" si="5"/>
        <v>219647</v>
      </c>
      <c r="V19" s="92">
        <f>SUMIF($D$6:$R$6,$X$2,D19:R19)/U19</f>
        <v>0.45272537298483478</v>
      </c>
      <c r="W19" s="202">
        <f>T19/U19</f>
        <v>0.97732620978205953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-16626</v>
      </c>
      <c r="K22" s="91">
        <f t="shared" si="6"/>
        <v>-16626</v>
      </c>
      <c r="L22" s="91">
        <f t="shared" si="6"/>
        <v>-24937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-99439.77</v>
      </c>
      <c r="T22" s="91">
        <f t="shared" si="6"/>
        <v>-214666.77000000002</v>
      </c>
      <c r="U22" s="91">
        <f t="shared" si="6"/>
        <v>0</v>
      </c>
      <c r="V22" s="406"/>
      <c r="W22" s="209"/>
      <c r="X22" s="184"/>
      <c r="Y22" s="14"/>
    </row>
    <row r="23" spans="1:25" ht="15.75" x14ac:dyDescent="0.2">
      <c r="A23" s="90" t="s">
        <v>301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-116065.77</v>
      </c>
      <c r="K24" s="130">
        <f t="shared" si="7"/>
        <v>-132691.77000000002</v>
      </c>
      <c r="L24" s="130">
        <f t="shared" si="7"/>
        <v>-157628.77000000002</v>
      </c>
      <c r="M24" s="130">
        <f t="shared" si="7"/>
        <v>-174254.77000000002</v>
      </c>
      <c r="N24" s="130">
        <f t="shared" si="7"/>
        <v>-190880.77000000002</v>
      </c>
      <c r="O24" s="130">
        <f t="shared" si="7"/>
        <v>-207506.77000000002</v>
      </c>
      <c r="P24" s="130">
        <f t="shared" si="7"/>
        <v>-214666.77000000002</v>
      </c>
      <c r="Q24" s="130">
        <f t="shared" si="7"/>
        <v>-214666.77000000002</v>
      </c>
      <c r="R24" s="130">
        <f t="shared" si="7"/>
        <v>-214666.77000000002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36" x14ac:dyDescent="0.25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25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319</v>
      </c>
      <c r="Q27" s="176" t="s">
        <v>293</v>
      </c>
      <c r="R27" s="340"/>
      <c r="S27" s="341"/>
      <c r="T27" s="174" t="s">
        <v>318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322</v>
      </c>
      <c r="Q28" s="176" t="s">
        <v>293</v>
      </c>
      <c r="R28" s="340"/>
      <c r="S28" s="341"/>
      <c r="T28" s="366" t="s">
        <v>334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25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294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352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25">
      <c r="A32" s="171">
        <v>202</v>
      </c>
      <c r="B32" s="75" t="s">
        <v>320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321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362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323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22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351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3080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810754.25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258950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2101784.3199999998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1072784.25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769432.51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769432.51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5713.15</v>
      </c>
      <c r="F16">
        <v>2</v>
      </c>
      <c r="G16" s="308"/>
      <c r="H16" s="307" t="str">
        <f t="shared" si="2"/>
        <v>ITD Reimbursements</v>
      </c>
      <c r="I16" s="312">
        <f t="shared" si="3"/>
        <v>243207.55000000002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9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171031.62</v>
      </c>
      <c r="J17" s="303"/>
      <c r="K17" s="14"/>
      <c r="L17" s="14"/>
      <c r="M17" s="14"/>
      <c r="N17" s="14"/>
    </row>
    <row r="18" spans="1:14" x14ac:dyDescent="0.2">
      <c r="A18" s="308">
        <f t="shared" si="1"/>
        <v>7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6575.4900000000007</v>
      </c>
      <c r="F18">
        <v>4</v>
      </c>
      <c r="G18" s="308"/>
      <c r="H18" s="307" t="str">
        <f t="shared" si="2"/>
        <v>Rentals</v>
      </c>
      <c r="I18" s="312">
        <f t="shared" si="3"/>
        <v>21000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18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14327.87</v>
      </c>
      <c r="J19" s="303"/>
      <c r="K19" s="14"/>
      <c r="L19" s="14"/>
      <c r="M19" s="14"/>
      <c r="N19" s="14"/>
    </row>
    <row r="20" spans="1:14" x14ac:dyDescent="0.2">
      <c r="A20" s="308">
        <f t="shared" si="1"/>
        <v>18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Communications</v>
      </c>
      <c r="I20" s="312">
        <f t="shared" si="3"/>
        <v>7389.33</v>
      </c>
      <c r="J20" s="303"/>
      <c r="K20" s="14"/>
      <c r="L20" s="14"/>
      <c r="M20" s="14"/>
      <c r="N20" s="14"/>
    </row>
    <row r="21" spans="1:14" x14ac:dyDescent="0.2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Office Supplies</v>
      </c>
      <c r="I21" s="312">
        <f t="shared" si="3"/>
        <v>6575.4900000000007</v>
      </c>
      <c r="J21" s="303"/>
      <c r="K21" s="14"/>
      <c r="L21" s="14"/>
      <c r="M21" s="14"/>
      <c r="N21" s="14"/>
    </row>
    <row r="22" spans="1:14" x14ac:dyDescent="0.2">
      <c r="A22" s="308">
        <f t="shared" si="1"/>
        <v>18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5713.15</v>
      </c>
      <c r="J22" s="303"/>
      <c r="K22" s="14"/>
      <c r="L22" s="14"/>
      <c r="M22" s="14"/>
      <c r="N22" s="14"/>
    </row>
    <row r="23" spans="1:14" x14ac:dyDescent="0.2">
      <c r="A23" s="308">
        <f t="shared" si="1"/>
        <v>11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2344.8000000000002</v>
      </c>
      <c r="G23" s="308"/>
      <c r="H23" s="307" t="s">
        <v>248</v>
      </c>
      <c r="I23" s="312">
        <f>I25-SUM(I15:I22)</f>
        <v>12176.339999999851</v>
      </c>
      <c r="J23" s="303"/>
      <c r="K23" s="14"/>
      <c r="L23" s="14"/>
      <c r="M23" s="14"/>
      <c r="N23" s="14"/>
    </row>
    <row r="24" spans="1:14" x14ac:dyDescent="0.2">
      <c r="A24" s="308">
        <f t="shared" si="1"/>
        <v>6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7389.33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21000</v>
      </c>
      <c r="G25" s="308"/>
      <c r="H25" s="307" t="s">
        <v>192</v>
      </c>
      <c r="I25" s="312">
        <f>D43</f>
        <v>1250853.8600000001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236</v>
      </c>
      <c r="C26" s="266" t="s">
        <v>237</v>
      </c>
      <c r="D26" s="9">
        <f>'Obligations vs Bgt'!E26</f>
        <v>966.06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15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359.76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12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2062.5500000000002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18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112.13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10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2815.35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243207.55000000002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18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18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171031.62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18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18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17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44.09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14327.87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18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360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1250853.8600000001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-178069.6100000001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850930.45999999985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279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229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230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2026-01-16 BOEE Tab C</dc:title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2026-01-09T23:22:13Z</dcterms:modified>
</cp:coreProperties>
</file>