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BA8A36EC-7040-4268-9EFF-E68932386DE8}" xr6:coauthVersionLast="36" xr6:coauthVersionMax="36" xr10:uidLastSave="{00000000-0000-0000-0000-000000000000}"/>
  <bookViews>
    <workbookView xWindow="0" yWindow="0" windowWidth="28800" windowHeight="12105" firstSheet="4" activeTab="1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0">'9500 BOEE'!$A$1:$W$35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Bgt'!$A$1:$M$47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P12" i="9" l="1"/>
  <c r="O12" i="9"/>
  <c r="N12" i="9"/>
  <c r="H12" i="9"/>
  <c r="N25" i="9" l="1"/>
  <c r="O25" i="9"/>
  <c r="P25" i="9"/>
  <c r="Q16" i="3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19" i="15" s="1"/>
  <c r="Q22" i="15" s="1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R22" i="15" l="1"/>
  <c r="I22" i="15"/>
  <c r="K22" i="15"/>
  <c r="J22" i="15"/>
  <c r="O22" i="15"/>
  <c r="N22" i="15"/>
  <c r="F22" i="15"/>
  <c r="U24" i="15"/>
  <c r="M22" i="15"/>
  <c r="E22" i="15"/>
  <c r="H22" i="15"/>
  <c r="T14" i="15"/>
  <c r="W14" i="15" s="1"/>
  <c r="T9" i="15"/>
  <c r="W9" i="15" s="1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Q50" i="9" s="1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K48" i="9" l="1"/>
  <c r="E50" i="9"/>
  <c r="E24" i="15"/>
  <c r="F24" i="15" s="1"/>
  <c r="T11" i="15"/>
  <c r="T19" i="15"/>
  <c r="W19" i="15" s="1"/>
  <c r="S22" i="15"/>
  <c r="G24" i="15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2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<sst xmlns="http://schemas.openxmlformats.org/spreadsheetml/2006/main" count="969" uniqueCount="360">
  <si>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</si>
  <si>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</si>
  <si>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</si>
  <si>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</si>
  <si>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</si>
  <si>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</si>
  <si>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</si>
  <si>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</si>
  <si>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</si>
  <si>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</si>
  <si>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</si>
  <si>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</si>
  <si>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</si>
  <si>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</si>
  <si>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</si>
  <si>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</si>
  <si>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</si>
  <si>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</si>
  <si>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</si>
  <si>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</si>
  <si>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</si>
  <si>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</si>
  <si>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</si>
  <si>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</si>
  <si>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</si>
  <si>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</si>
  <si>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</si>
  <si>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</si>
  <si>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</si>
  <si>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</si>
  <si>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</si>
  <si>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</si>
  <si>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</si>
  <si>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</si>
  <si>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</si>
  <si>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</si>
  <si>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</si>
  <si>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</si>
  <si>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</si>
  <si>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</si>
  <si>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</si>
  <si>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</si>
  <si>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</si>
  <si>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</si>
  <si>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</si>
  <si>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</si>
  <si>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</si>
  <si>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</si>
  <si>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</si>
  <si>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</si>
  <si>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</si>
  <si>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</si>
  <si>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</si>
  <si>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</si>
  <si>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</si>
  <si>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</si>
  <si>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</si>
  <si>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</si>
  <si>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</si>
  <si>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</si>
  <si>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</si>
  <si>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</si>
  <si>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</si>
  <si>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</si>
  <si>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</si>
  <si>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</si>
  <si>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</si>
  <si>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</si>
  <si>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</si>
  <si>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</si>
  <si>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</si>
  <si>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</si>
  <si>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</si>
  <si>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</si>
  <si>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</si>
  <si>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</si>
  <si>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</si>
  <si>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</si>
  <si>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</si>
  <si>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</si>
  <si>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</si>
  <si>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</si>
  <si>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</si>
  <si>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</si>
  <si>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</si>
  <si>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</si>
  <si>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</si>
  <si>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</si>
  <si>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</si>
  <si>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</si>
  <si>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</si>
  <si>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</si>
  <si>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</si>
  <si>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</si>
  <si>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</si>
  <si>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</si>
  <si>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</si>
  <si>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</si>
  <si>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</si>
  <si>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</si>
  <si>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</si>
  <si>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</si>
  <si>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</si>
  <si>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</si>
  <si>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</si>
  <si>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</si>
  <si>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</si>
  <si>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</si>
  <si>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</si>
  <si>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</si>
  <si>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</si>
  <si>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</si>
  <si>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</si>
  <si>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</si>
  <si>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</si>
  <si>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</si>
  <si>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</si>
  <si>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</si>
  <si>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</si>
  <si>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</si>
  <si>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</si>
  <si>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</si>
  <si>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</si>
  <si>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</si>
  <si>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</si>
  <si>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</si>
  <si>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</si>
  <si>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</si>
  <si>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</si>
  <si>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</si>
  <si>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</si>
  <si>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</si>
  <si>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</si>
  <si>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</si>
  <si>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</si>
  <si>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</si>
  <si>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</si>
  <si>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</si>
  <si>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</si>
  <si>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</si>
  <si>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</si>
  <si>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</si>
  <si>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</si>
  <si>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</si>
  <si>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</si>
  <si>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</si>
  <si>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</si>
  <si>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</si>
  <si>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</si>
  <si>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</si>
  <si>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</si>
  <si>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</si>
  <si>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</si>
  <si>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</si>
  <si>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</si>
  <si>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</si>
  <si>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</si>
  <si>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</si>
  <si>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</si>
  <si>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</si>
  <si>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</si>
  <si>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</si>
  <si>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</si>
  <si>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</si>
  <si>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</si>
  <si>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</si>
  <si>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</si>
  <si>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</si>
  <si>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</si>
  <si>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</si>
  <si>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</si>
  <si>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</si>
  <si>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</si>
  <si>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</si>
  <si>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</si>
  <si>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</si>
  <si>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</si>
  <si>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</si>
  <si>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</si>
  <si>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</si>
  <si>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</si>
  <si>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</si>
  <si>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</si>
  <si>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</si>
  <si>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</si>
  <si>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</si>
  <si>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</si>
  <si>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</si>
  <si>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</si>
  <si>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</si>
  <si>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</si>
  <si>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</si>
  <si>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</si>
  <si>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</si>
  <si>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</si>
  <si>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</si>
  <si>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</si>
  <si>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</si>
  <si>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</si>
  <si>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</si>
  <si>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</si>
  <si>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</si>
  <si>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</si>
  <si>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</si>
  <si>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</si>
  <si>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</si>
  <si>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</si>
  <si>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</si>
  <si>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</si>
  <si>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</si>
  <si>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</si>
  <si>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</si>
  <si>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</si>
  <si>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</si>
  <si>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</si>
  <si>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</si>
  <si>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</si>
  <si>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</si>
  <si>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</si>
  <si>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</si>
  <si>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</si>
  <si>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</si>
  <si>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</si>
  <si>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</si>
  <si>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</si>
  <si>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</si>
  <si>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</si>
  <si>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</si>
  <si>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</si>
  <si>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</si>
  <si>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</si>
  <si>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</si>
  <si>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</si>
  <si>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</si>
  <si>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</si>
  <si>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</si>
  <si>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</si>
  <si>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</si>
  <si>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</si>
  <si>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</si>
  <si>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</si>
  <si>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</si>
  <si>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</si>
  <si>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</si>
  <si>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</si>
  <si>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</si>
  <si>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</si>
  <si>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</si>
  <si>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</si>
  <si>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</si>
  <si>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</si>
  <si>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</si>
  <si>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</si>
  <si>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</si>
  <si>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</si>
  <si>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</si>
  <si>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</si>
  <si>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</si>
  <si>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</si>
  <si>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</si>
  <si>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</si>
  <si>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</si>
  <si>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</si>
  <si>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</si>
  <si>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</si>
  <si>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</si>
  <si>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</si>
  <si>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</si>
  <si>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</si>
  <si>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</si>
  <si>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</si>
  <si>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</si>
  <si>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</si>
  <si>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</si>
  <si>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</si>
  <si>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</si>
  <si>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</si>
  <si>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</si>
  <si>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</si>
  <si>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</si>
  <si>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</si>
  <si>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</si>
  <si>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</si>
  <si>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</si>
  <si>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</si>
  <si>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</si>
  <si>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</si>
  <si>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</si>
  <si>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</si>
  <si>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</si>
  <si>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</si>
  <si>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</si>
  <si>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</si>
  <si>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</si>
  <si>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</si>
  <si>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</si>
  <si>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</si>
  <si>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</si>
  <si>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</si>
  <si>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</si>
  <si>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Jessica Kurtz Naylor</t>
  </si>
  <si>
    <t>Encumbrances</t>
  </si>
  <si>
    <t>147733 00696</t>
  </si>
  <si>
    <t>Daniel J Zylstra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</si>
  <si>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</si>
  <si>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</si>
  <si>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</si>
  <si>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</si>
  <si>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</si>
  <si>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</si>
  <si>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</si>
  <si>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</si>
  <si>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</si>
  <si>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</si>
  <si>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</si>
  <si>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</si>
  <si>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</si>
  <si>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</si>
  <si>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</si>
  <si>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</si>
  <si>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</si>
  <si>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</si>
  <si>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</si>
  <si>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</si>
  <si>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</si>
  <si>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</si>
  <si>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</si>
  <si>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</si>
  <si>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</si>
  <si>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</si>
  <si>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</si>
  <si>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</si>
  <si>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</si>
  <si>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</si>
  <si>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</si>
  <si>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</si>
  <si>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</si>
  <si>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</si>
  <si>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</si>
  <si>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</si>
  <si>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</si>
  <si>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</si>
  <si>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</si>
  <si>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</si>
  <si>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$100,000 Carry Forward into FY26 completed 7/1/25.</t>
  </si>
  <si>
    <t>FY 2026 FINANCIAL ANALYSIS</t>
  </si>
  <si>
    <t>FY 26        Annual Budget</t>
  </si>
  <si>
    <t>Prior Year  FY25</t>
  </si>
  <si>
    <t>For Fiscal 2026, September and March are "3 Payroll" months.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</si>
  <si>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will have 3 payroll runs.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</si>
  <si>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for FY26 not signed yet.  Estimating 58,000.</t>
    </r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</si>
  <si>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</si>
  <si>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</si>
  <si>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</si>
  <si>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</si>
  <si>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</si>
  <si>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</si>
  <si>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</si>
  <si>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>Period 3- September 2026</t>
  </si>
  <si>
    <t xml:space="preserve">FY2025 GAAP Package completed September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</si>
</sst>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49" fontId="44" fillId="0" borderId="0" xfId="0" applyNumberFormat="1" applyFont="1" applyFill="1" applyAlignment="1">
      <alignment horizontal="center"/>
    </xf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395722.91000000003</c:v>
                </c:pt>
                <c:pt idx="1">
                  <c:v>1302.25</c:v>
                </c:pt>
                <c:pt idx="2">
                  <c:v>0</c:v>
                </c:pt>
                <c:pt idx="3">
                  <c:v>6331.97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912.1400000000001</c:v>
                </c:pt>
                <c:pt idx="9">
                  <c:v>1762.8899999999999</c:v>
                </c:pt>
                <c:pt idx="10">
                  <c:v>10500</c:v>
                </c:pt>
                <c:pt idx="11">
                  <c:v>443.45</c:v>
                </c:pt>
                <c:pt idx="12">
                  <c:v>0</c:v>
                </c:pt>
                <c:pt idx="13">
                  <c:v>848.45999999999992</c:v>
                </c:pt>
                <c:pt idx="14">
                  <c:v>0</c:v>
                </c:pt>
                <c:pt idx="15">
                  <c:v>0</c:v>
                </c:pt>
                <c:pt idx="16">
                  <c:v>1473.6399999999999</c:v>
                </c:pt>
                <c:pt idx="17">
                  <c:v>7879</c:v>
                </c:pt>
                <c:pt idx="18">
                  <c:v>0</c:v>
                </c:pt>
                <c:pt idx="19">
                  <c:v>27785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44.09</c:v>
                </c:pt>
                <c:pt idx="24">
                  <c:v>4024.6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1.5278871429318283E-2"/>
                  <c:y val="-5.29463427738915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Gov Transfer Other Agencies</c:v>
                </c:pt>
                <c:pt idx="2">
                  <c:v>Rentals</c:v>
                </c:pt>
                <c:pt idx="3">
                  <c:v>ITD Reimbursements</c:v>
                </c:pt>
                <c:pt idx="4">
                  <c:v>Office Supplies</c:v>
                </c:pt>
                <c:pt idx="5">
                  <c:v>Other Expenses &amp; Obligations</c:v>
                </c:pt>
                <c:pt idx="6">
                  <c:v>Communications</c:v>
                </c:pt>
                <c:pt idx="7">
                  <c:v>Reimbursements To Other Agency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395722.91000000003</c:v>
                </c:pt>
                <c:pt idx="1">
                  <c:v>27785</c:v>
                </c:pt>
                <c:pt idx="2">
                  <c:v>10500</c:v>
                </c:pt>
                <c:pt idx="3">
                  <c:v>7879</c:v>
                </c:pt>
                <c:pt idx="4">
                  <c:v>6331.97</c:v>
                </c:pt>
                <c:pt idx="5">
                  <c:v>4024.6</c:v>
                </c:pt>
                <c:pt idx="6">
                  <c:v>1762.8899999999999</c:v>
                </c:pt>
                <c:pt idx="7">
                  <c:v>1473.6399999999999</c:v>
                </c:pt>
                <c:pt idx="8">
                  <c:v>3550.3900000000722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249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9" t="s">
        <v>335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45931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345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358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231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06">
        <f>'9397 BOEE'!P53</f>
        <v>1386379.7900000003</v>
      </c>
      <c r="F19" s="406">
        <v>1050000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7">
        <f>SUM(D19:D19)</f>
        <v>1386379.7900000003</v>
      </c>
      <c r="E20" s="408"/>
      <c r="F20" s="407">
        <f>SUM(F19:F19)</f>
        <v>1050000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344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356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359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348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09" t="s">
        <v>326</v>
      </c>
      <c r="C48" s="14"/>
      <c r="D48" s="410" t="s">
        <v>327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245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284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235</v>
      </c>
      <c r="B10" s="258" t="s">
        <v>241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293</v>
      </c>
      <c r="B11" s="258" t="s">
        <v>305</v>
      </c>
      <c r="C11" s="262">
        <v>9397</v>
      </c>
      <c r="D11" s="263">
        <v>1</v>
      </c>
      <c r="E11" s="259">
        <v>100000</v>
      </c>
      <c r="F11" s="363">
        <v>0</v>
      </c>
      <c r="G11" s="363">
        <v>0</v>
      </c>
      <c r="H11" s="363">
        <v>0</v>
      </c>
      <c r="I11" s="363">
        <v>0</v>
      </c>
      <c r="J11" s="363">
        <v>0</v>
      </c>
      <c r="K11" s="363">
        <v>0</v>
      </c>
      <c r="L11" s="363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299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307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3">
        <v>0</v>
      </c>
      <c r="R13" s="363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277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283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253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282</v>
      </c>
      <c r="B20" s="255" t="s">
        <v>291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247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246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3080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125000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98000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103000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159500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123000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120000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489762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45000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35000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38000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58000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45500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146125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170000</v>
      </c>
      <c r="H17" s="101">
        <f t="shared" si="7"/>
        <v>133000</v>
      </c>
      <c r="I17" s="101">
        <f t="shared" si="7"/>
        <v>141000</v>
      </c>
      <c r="J17" s="101">
        <f t="shared" si="7"/>
        <v>217500</v>
      </c>
      <c r="K17" s="101">
        <f t="shared" si="7"/>
        <v>168500</v>
      </c>
      <c r="L17" s="101">
        <f t="shared" si="7"/>
        <v>162000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638967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136489.70000000001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136489.70000000001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136489.70000000001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136489.70000000001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136489.70000000001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136489.70000000001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61153.58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395722.91000000003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0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0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0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0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1302.25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0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0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0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6331.97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0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0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0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0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912.1400000000001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0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0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0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1762.8899999999999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5250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10500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0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0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0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0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0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848.45999999999992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0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0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0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0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0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1473.6399999999999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0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0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0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0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7879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14499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4833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4833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4833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4833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4833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4833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55000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0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0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0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27785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44.09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0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0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0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0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4024.6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0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156238.70000000001</v>
      </c>
      <c r="H50" s="101">
        <f t="shared" si="25"/>
        <v>146572.70000000001</v>
      </c>
      <c r="I50" s="101">
        <f t="shared" si="25"/>
        <v>146572.70000000001</v>
      </c>
      <c r="J50" s="101">
        <f t="shared" si="25"/>
        <v>146572.70000000001</v>
      </c>
      <c r="K50" s="101">
        <f t="shared" si="25"/>
        <v>146572.70000000001</v>
      </c>
      <c r="L50" s="101">
        <f t="shared" si="25"/>
        <v>146572.70000000001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71236.58</v>
      </c>
      <c r="Q50" s="101">
        <f t="shared" si="25"/>
        <v>0</v>
      </c>
      <c r="R50" s="101">
        <f t="shared" si="25"/>
        <v>0</v>
      </c>
      <c r="S50" s="101">
        <f t="shared" si="25"/>
        <v>458586.95000000007</v>
      </c>
      <c r="T50" s="101" t="e">
        <f t="shared" si="25"/>
        <v>#VALUE!</v>
      </c>
      <c r="U50" s="101">
        <f t="shared" si="25"/>
        <v>2839945.67</v>
      </c>
      <c r="V50" s="92">
        <f>SUMIF($D$6:$R$6,$X$2,D50:R50)/U50</f>
        <v>2.8640026765019064E-2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13761.299999999988</v>
      </c>
      <c r="H52" s="101">
        <f t="shared" si="26"/>
        <v>-13572.700000000012</v>
      </c>
      <c r="I52" s="101">
        <f t="shared" si="26"/>
        <v>-5572.7000000000116</v>
      </c>
      <c r="J52" s="101">
        <f t="shared" si="26"/>
        <v>70927.299999999988</v>
      </c>
      <c r="K52" s="101">
        <f t="shared" si="26"/>
        <v>21927.299999999988</v>
      </c>
      <c r="L52" s="101">
        <f t="shared" si="26"/>
        <v>15427.299999999988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-71236.58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294141.34999999998</v>
      </c>
      <c r="H53" s="130">
        <f t="shared" si="27"/>
        <v>280568.64999999997</v>
      </c>
      <c r="I53" s="130">
        <f t="shared" si="27"/>
        <v>274995.94999999995</v>
      </c>
      <c r="J53" s="130">
        <f t="shared" si="27"/>
        <v>345923.24999999994</v>
      </c>
      <c r="K53" s="130">
        <f t="shared" ref="K53" si="28">J53+K52</f>
        <v>367850.54999999993</v>
      </c>
      <c r="L53" s="130">
        <f t="shared" ref="L53" si="29">K53+L52</f>
        <v>383277.84999999992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357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 t="s">
        <v>325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0.25</v>
      </c>
      <c r="W3" s="48"/>
    </row>
    <row r="4" spans="1:28" s="1" customFormat="1" ht="18" customHeight="1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346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78">
        <v>100000</v>
      </c>
      <c r="E8" s="378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3">
        <f>SUMIF($D$6:$R$6,$X$2,D8:R8)</f>
        <v>1029000.07</v>
      </c>
      <c r="T8" s="413">
        <f>SUM(D8:R8)</f>
        <v>1029000.07</v>
      </c>
      <c r="U8" s="378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238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-950000</v>
      </c>
      <c r="R9" s="195"/>
      <c r="S9" s="414">
        <f>SUMIF($D$6:$R$6,$X$2,D9:R9)</f>
        <v>0</v>
      </c>
      <c r="T9" s="413">
        <f>SUM(D9:R9)</f>
        <v>-1050000</v>
      </c>
      <c r="U9" s="378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3080</v>
      </c>
      <c r="T11" s="70">
        <f>SUM(D11:R11)</f>
        <v>3080</v>
      </c>
      <c r="U11" s="70">
        <v>500</v>
      </c>
      <c r="V11" s="199">
        <f>IF(U11=0,0,SUMIF($D$6:$R$6,$X$2,D11:R11)/U11)</f>
        <v>6.16</v>
      </c>
      <c r="W11" s="199">
        <f>IF(U11=0,0,T11/U11)</f>
        <v>6.16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125000</v>
      </c>
      <c r="H12" s="198">
        <v>98000</v>
      </c>
      <c r="I12" s="198">
        <v>103000</v>
      </c>
      <c r="J12" s="198">
        <v>159500</v>
      </c>
      <c r="K12" s="198">
        <v>123000</v>
      </c>
      <c r="L12" s="198">
        <v>120000</v>
      </c>
      <c r="M12" s="198">
        <v>141000</v>
      </c>
      <c r="N12" s="198">
        <v>168000</v>
      </c>
      <c r="O12" s="198">
        <v>230000</v>
      </c>
      <c r="P12" s="198">
        <v>0</v>
      </c>
      <c r="Q12" s="70">
        <v>0</v>
      </c>
      <c r="R12" s="198">
        <v>0</v>
      </c>
      <c r="S12" s="198">
        <f>SUMIF($D$6:$R$6,$X$2,D12:R12)</f>
        <v>489762</v>
      </c>
      <c r="T12" s="70">
        <f>SUM(D12:R12)</f>
        <v>1757262</v>
      </c>
      <c r="U12" s="70">
        <v>1800000</v>
      </c>
      <c r="V12" s="199">
        <f>IF(U12=0,0,SUMIF($D$6:$R$6,$X$2,D12:R12)/U12)</f>
        <v>0.27209</v>
      </c>
      <c r="W12" s="199">
        <f>IF(U12=0,0,T12/U12)</f>
        <v>0.97625666666666666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45000</v>
      </c>
      <c r="H14" s="198">
        <v>35000</v>
      </c>
      <c r="I14" s="198">
        <v>38000</v>
      </c>
      <c r="J14" s="198">
        <v>58000</v>
      </c>
      <c r="K14" s="198">
        <v>45500</v>
      </c>
      <c r="L14" s="198">
        <v>42000</v>
      </c>
      <c r="M14" s="198">
        <v>46000</v>
      </c>
      <c r="N14" s="198">
        <v>47000</v>
      </c>
      <c r="O14" s="198">
        <v>59500</v>
      </c>
      <c r="P14" s="198">
        <v>0</v>
      </c>
      <c r="Q14" s="70">
        <v>0</v>
      </c>
      <c r="R14" s="198">
        <v>0</v>
      </c>
      <c r="S14" s="198">
        <f>SUMIF($D$6:$R$6,$X$2,D14:R14)</f>
        <v>146125</v>
      </c>
      <c r="T14" s="70">
        <f>SUM(D14:R14)</f>
        <v>562125</v>
      </c>
      <c r="U14" s="70">
        <v>590000</v>
      </c>
      <c r="V14" s="199">
        <f>IF(U14=0,0,SUMIF($D$6:$R$6,$X$2,D14:R14)/U14)</f>
        <v>0.24766949152542372</v>
      </c>
      <c r="W14" s="199">
        <f>IF(U14=0,0,T14/U14)</f>
        <v>0.95275423728813557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7">
        <f>SUM(D8:D15)</f>
        <v>317524.25</v>
      </c>
      <c r="E16" s="377">
        <f t="shared" ref="E16:Q16" si="0">SUM(E8:E15)</f>
        <v>1161464.3199999998</v>
      </c>
      <c r="F16" s="91">
        <f t="shared" si="0"/>
        <v>188978.5</v>
      </c>
      <c r="G16" s="91">
        <f t="shared" si="0"/>
        <v>170000</v>
      </c>
      <c r="H16" s="91">
        <f t="shared" si="0"/>
        <v>133000</v>
      </c>
      <c r="I16" s="91">
        <f t="shared" si="0"/>
        <v>141000</v>
      </c>
      <c r="J16" s="91">
        <f t="shared" si="0"/>
        <v>217500</v>
      </c>
      <c r="K16" s="91">
        <f t="shared" si="0"/>
        <v>168500</v>
      </c>
      <c r="L16" s="91">
        <f t="shared" si="0"/>
        <v>162000</v>
      </c>
      <c r="M16" s="91">
        <f t="shared" si="0"/>
        <v>187000</v>
      </c>
      <c r="N16" s="91">
        <f t="shared" si="0"/>
        <v>215000</v>
      </c>
      <c r="O16" s="91">
        <f t="shared" si="0"/>
        <v>289500</v>
      </c>
      <c r="P16" s="91">
        <f t="shared" si="0"/>
        <v>-100000</v>
      </c>
      <c r="Q16" s="91">
        <f t="shared" si="0"/>
        <v>-950000</v>
      </c>
      <c r="R16" s="201">
        <f>SUM(R8:R15)</f>
        <v>0</v>
      </c>
      <c r="S16" s="201">
        <f t="shared" ref="S16:U16" si="1">SUM(S8:S15)</f>
        <v>1667967.0699999998</v>
      </c>
      <c r="T16" s="91">
        <f t="shared" si="1"/>
        <v>2301467.0699999998</v>
      </c>
      <c r="U16" s="91">
        <f t="shared" si="1"/>
        <v>2862962</v>
      </c>
      <c r="V16" s="202">
        <f>SUMIF($D$6:$R$6,$X$2,D16:R16)/U16</f>
        <v>0.58260188923220069</v>
      </c>
      <c r="W16" s="202">
        <f>T16/U16</f>
        <v>0.80387621980312696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136489.70000000001</v>
      </c>
      <c r="H19" s="70">
        <v>136489.70000000001</v>
      </c>
      <c r="I19" s="70">
        <v>136489.70000000001</v>
      </c>
      <c r="J19" s="70">
        <v>136489.70000000001</v>
      </c>
      <c r="K19" s="70">
        <v>136489.70000000001</v>
      </c>
      <c r="L19" s="70">
        <v>136489.70000000001</v>
      </c>
      <c r="M19" s="70">
        <v>136489.70000000001</v>
      </c>
      <c r="N19" s="70">
        <v>136489.70000000001</v>
      </c>
      <c r="O19" s="70">
        <v>136489.70000000001</v>
      </c>
      <c r="P19" s="70">
        <v>61153.58</v>
      </c>
      <c r="Q19" s="70">
        <v>0</v>
      </c>
      <c r="R19" s="198">
        <v>0</v>
      </c>
      <c r="S19" s="198">
        <f t="shared" ref="S19:S42" si="2">SUMIF($D$6:$R$6,$X$2,D19:R19)</f>
        <v>395722.91000000003</v>
      </c>
      <c r="T19" s="70">
        <f t="shared" ref="T19:T42" si="3">SUM(D19:R19)</f>
        <v>1685283.7899999998</v>
      </c>
      <c r="U19" s="70">
        <v>1774366</v>
      </c>
      <c r="V19" s="199">
        <f>IF(U19=0,0,SUMIF($D$6:$R$6,$X$2,D19:R19)/U19)</f>
        <v>0.22302214424757916</v>
      </c>
      <c r="W19" s="199">
        <f>IF(U19=0,0,T19/U19)</f>
        <v>0.94979490702594604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2"/>
        <v>1302.25</v>
      </c>
      <c r="T20" s="70">
        <f t="shared" si="3"/>
        <v>1302.25</v>
      </c>
      <c r="U20" s="198">
        <v>15000</v>
      </c>
      <c r="V20" s="199">
        <f t="shared" ref="V20:V42" si="4">IF(U20=0,0,SUMIF($D$6:$R$6,$X$2,D20:R20)/U20)</f>
        <v>8.6816666666666667E-2</v>
      </c>
      <c r="W20" s="199">
        <f t="shared" ref="W20:W42" si="5">IF(U20=0,0,T20/U20)</f>
        <v>8.6816666666666667E-2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0</v>
      </c>
      <c r="T21" s="70">
        <f t="shared" ref="T21" si="7">SUM(D21:R21)</f>
        <v>0</v>
      </c>
      <c r="U21" s="198">
        <v>20000</v>
      </c>
      <c r="V21" s="199">
        <f t="shared" ref="V21" si="8">IF(U21=0,0,SUMIF($D$6:$R$6,$X$2,D21:R21)/U21)</f>
        <v>0</v>
      </c>
      <c r="W21" s="199">
        <f t="shared" ref="W21" si="9">IF(U21=0,0,T21/U21)</f>
        <v>0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6331.97</v>
      </c>
      <c r="T22" s="70">
        <f t="shared" si="3"/>
        <v>12331.970000000001</v>
      </c>
      <c r="U22" s="198">
        <v>10000</v>
      </c>
      <c r="V22" s="199">
        <f t="shared" si="4"/>
        <v>0.63319700000000001</v>
      </c>
      <c r="W22" s="199">
        <f t="shared" si="5"/>
        <v>1.2331970000000001</v>
      </c>
      <c r="X22" s="206"/>
      <c r="Y22" s="317"/>
    </row>
    <row r="23" spans="1:28" s="14" customFormat="1" x14ac:dyDescent="0.2">
      <c r="A23" s="193" t="s">
        <v>233</v>
      </c>
      <c r="B23" s="193" t="s">
        <v>234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198">
        <v>0</v>
      </c>
      <c r="S27" s="198">
        <f t="shared" si="2"/>
        <v>912.1400000000001</v>
      </c>
      <c r="T27" s="70">
        <f t="shared" si="3"/>
        <v>912.1400000000001</v>
      </c>
      <c r="U27" s="198">
        <v>8000</v>
      </c>
      <c r="V27" s="199">
        <f t="shared" si="4"/>
        <v>0.11401750000000001</v>
      </c>
      <c r="W27" s="199">
        <f t="shared" si="5"/>
        <v>0.11401750000000001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198">
        <v>0</v>
      </c>
      <c r="S28" s="198">
        <f t="shared" si="2"/>
        <v>1762.8899999999999</v>
      </c>
      <c r="T28" s="70">
        <f t="shared" si="3"/>
        <v>1762.8899999999999</v>
      </c>
      <c r="U28" s="198">
        <v>15000</v>
      </c>
      <c r="V28" s="199">
        <f t="shared" si="4"/>
        <v>0.11752599999999999</v>
      </c>
      <c r="W28" s="199">
        <f t="shared" si="5"/>
        <v>0.11752599999999999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5250</v>
      </c>
      <c r="J29" s="70">
        <v>5250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10500</v>
      </c>
      <c r="T29" s="70">
        <f t="shared" si="3"/>
        <v>63000</v>
      </c>
      <c r="U29" s="198">
        <v>72000</v>
      </c>
      <c r="V29" s="199">
        <f t="shared" si="4"/>
        <v>0.14583333333333334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236</v>
      </c>
      <c r="B30" s="193" t="s">
        <v>237</v>
      </c>
      <c r="C30" s="193"/>
      <c r="D30" s="70">
        <v>0</v>
      </c>
      <c r="E30" s="70">
        <v>0</v>
      </c>
      <c r="F30" s="70">
        <v>443.45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198"/>
      <c r="S30" s="198">
        <f t="shared" ref="S30" si="18">SUMIF($D$6:$R$6,$X$2,D30:R30)</f>
        <v>443.45</v>
      </c>
      <c r="T30" s="70">
        <f t="shared" ref="T30" si="19">SUM(D30:R30)</f>
        <v>443.45</v>
      </c>
      <c r="U30" s="198">
        <v>4000.25</v>
      </c>
      <c r="V30" s="199">
        <f t="shared" ref="V30" si="20">IF(U30=0,0,SUMIF($D$6:$R$6,$X$2,D30:R30)/U30)</f>
        <v>0.11085557152677958</v>
      </c>
      <c r="W30" s="199">
        <f t="shared" ref="W30" si="21">IF(U30=0,0,T30/U30)</f>
        <v>0.11085557152677958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198">
        <v>0</v>
      </c>
      <c r="S31" s="198">
        <f t="shared" si="2"/>
        <v>0</v>
      </c>
      <c r="T31" s="70">
        <f t="shared" si="3"/>
        <v>0</v>
      </c>
      <c r="U31" s="198">
        <v>5000</v>
      </c>
      <c r="V31" s="199">
        <f t="shared" si="4"/>
        <v>0</v>
      </c>
      <c r="W31" s="199">
        <f t="shared" si="5"/>
        <v>0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848.45999999999992</v>
      </c>
      <c r="T32" s="70">
        <f t="shared" si="3"/>
        <v>848.45999999999992</v>
      </c>
      <c r="U32" s="198">
        <v>5000</v>
      </c>
      <c r="V32" s="199">
        <f t="shared" si="4"/>
        <v>0.16969199999999998</v>
      </c>
      <c r="W32" s="199">
        <f t="shared" si="5"/>
        <v>0.16969199999999998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198">
        <v>0</v>
      </c>
      <c r="S34" s="198">
        <f t="shared" si="2"/>
        <v>0</v>
      </c>
      <c r="T34" s="70">
        <f t="shared" si="3"/>
        <v>0</v>
      </c>
      <c r="U34" s="198">
        <v>1000</v>
      </c>
      <c r="V34" s="199">
        <f t="shared" si="4"/>
        <v>0</v>
      </c>
      <c r="W34" s="199">
        <f t="shared" si="5"/>
        <v>0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198">
        <v>0</v>
      </c>
      <c r="S35" s="198">
        <f t="shared" si="2"/>
        <v>1473.6399999999999</v>
      </c>
      <c r="T35" s="70">
        <f t="shared" si="3"/>
        <v>1473.6399999999999</v>
      </c>
      <c r="U35" s="70">
        <v>10000</v>
      </c>
      <c r="V35" s="199">
        <f t="shared" si="4"/>
        <v>0.14736399999999999</v>
      </c>
      <c r="W35" s="199">
        <f t="shared" si="5"/>
        <v>0.14736399999999999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198">
        <v>0</v>
      </c>
      <c r="S36" s="198">
        <f t="shared" si="2"/>
        <v>7879</v>
      </c>
      <c r="T36" s="70">
        <f t="shared" si="3"/>
        <v>7879</v>
      </c>
      <c r="U36" s="70">
        <v>410621</v>
      </c>
      <c r="V36" s="199">
        <f t="shared" si="4"/>
        <v>1.9188010355047597E-2</v>
      </c>
      <c r="W36" s="199">
        <f t="shared" si="5"/>
        <v>1.9188010355047597E-2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14499</v>
      </c>
      <c r="H38" s="70">
        <v>4833</v>
      </c>
      <c r="I38" s="70">
        <v>4833</v>
      </c>
      <c r="J38" s="70">
        <v>4833</v>
      </c>
      <c r="K38" s="70">
        <v>4833</v>
      </c>
      <c r="L38" s="70">
        <v>4833</v>
      </c>
      <c r="M38" s="70">
        <v>4833</v>
      </c>
      <c r="N38" s="70">
        <v>4833</v>
      </c>
      <c r="O38" s="70">
        <v>4833</v>
      </c>
      <c r="P38" s="70">
        <v>4833</v>
      </c>
      <c r="Q38" s="70">
        <v>0</v>
      </c>
      <c r="R38" s="198">
        <v>0</v>
      </c>
      <c r="S38" s="198">
        <f t="shared" si="2"/>
        <v>0</v>
      </c>
      <c r="T38" s="70">
        <f t="shared" si="3"/>
        <v>57996</v>
      </c>
      <c r="U38" s="70">
        <v>55000</v>
      </c>
      <c r="V38" s="199">
        <f t="shared" si="4"/>
        <v>0</v>
      </c>
      <c r="W38" s="199">
        <f t="shared" si="5"/>
        <v>1.0544727272727272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0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198">
        <v>0</v>
      </c>
      <c r="S39" s="198">
        <f t="shared" si="2"/>
        <v>27785</v>
      </c>
      <c r="T39" s="70">
        <f t="shared" si="3"/>
        <v>27785</v>
      </c>
      <c r="U39" s="70">
        <v>324259</v>
      </c>
      <c r="V39" s="199">
        <f t="shared" si="4"/>
        <v>8.5687675592658955E-2</v>
      </c>
      <c r="W39" s="199">
        <f t="shared" si="5"/>
        <v>8.5687675592658955E-2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44.09</v>
      </c>
      <c r="T43" s="70">
        <f t="shared" ref="T43:T46" si="31">SUM(D43:R43)</f>
        <v>44.09</v>
      </c>
      <c r="U43" s="198">
        <v>5000</v>
      </c>
      <c r="V43" s="199">
        <f t="shared" ref="V43:V46" si="32">IF(U43=0,0,SUMIF($D$6:$R$6,$X$2,D43:R43)/U43)</f>
        <v>8.8180000000000012E-3</v>
      </c>
      <c r="W43" s="199">
        <f t="shared" ref="W43:W46" si="33">IF(U43=0,0,T43/U43)</f>
        <v>8.8180000000000012E-3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198">
        <v>0</v>
      </c>
      <c r="S44" s="198">
        <f t="shared" si="30"/>
        <v>4024.6</v>
      </c>
      <c r="T44" s="70">
        <f t="shared" si="31"/>
        <v>4024.6</v>
      </c>
      <c r="U44" s="198">
        <v>30000</v>
      </c>
      <c r="V44" s="199">
        <f t="shared" si="32"/>
        <v>0.13415333333333332</v>
      </c>
      <c r="W44" s="199">
        <f t="shared" si="33"/>
        <v>0.13415333333333332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0</v>
      </c>
      <c r="T46" s="70">
        <f t="shared" si="31"/>
        <v>0</v>
      </c>
      <c r="U46" s="198">
        <v>5000</v>
      </c>
      <c r="V46" s="199">
        <f t="shared" si="32"/>
        <v>0</v>
      </c>
      <c r="W46" s="199">
        <f t="shared" si="33"/>
        <v>0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156238.70000000001</v>
      </c>
      <c r="H48" s="201">
        <f t="shared" si="38"/>
        <v>146572.70000000001</v>
      </c>
      <c r="I48" s="201">
        <f t="shared" si="38"/>
        <v>146572.70000000001</v>
      </c>
      <c r="J48" s="201">
        <f t="shared" si="38"/>
        <v>146572.70000000001</v>
      </c>
      <c r="K48" s="201">
        <f t="shared" si="38"/>
        <v>146572.70000000001</v>
      </c>
      <c r="L48" s="201">
        <f t="shared" si="38"/>
        <v>146572.70000000001</v>
      </c>
      <c r="M48" s="201">
        <f t="shared" si="38"/>
        <v>146572.70000000001</v>
      </c>
      <c r="N48" s="201">
        <f t="shared" si="38"/>
        <v>152572.70000000001</v>
      </c>
      <c r="O48" s="201">
        <f t="shared" si="38"/>
        <v>146572.70000000001</v>
      </c>
      <c r="P48" s="201">
        <f t="shared" si="38"/>
        <v>71236.58</v>
      </c>
      <c r="Q48" s="201">
        <f t="shared" si="38"/>
        <v>0</v>
      </c>
      <c r="R48" s="201">
        <f t="shared" si="38"/>
        <v>0</v>
      </c>
      <c r="S48" s="201">
        <f t="shared" si="38"/>
        <v>459030.40000000008</v>
      </c>
      <c r="T48" s="91">
        <f t="shared" si="38"/>
        <v>1865087.2799999996</v>
      </c>
      <c r="U48" s="201">
        <f t="shared" si="38"/>
        <v>2842945.92</v>
      </c>
      <c r="V48" s="202">
        <f>SUMIF($D$6:$R$6,$X$2,D48:R48)/U48</f>
        <v>0.16146293771216022</v>
      </c>
      <c r="W48" s="202">
        <f>T48/U48</f>
        <v>0.65604036534047039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79">
        <f t="shared" ref="D51:U51" si="39">D16-D48</f>
        <v>236188.13</v>
      </c>
      <c r="E51" s="379">
        <f t="shared" si="39"/>
        <v>1034982.2699999998</v>
      </c>
      <c r="F51" s="201">
        <f t="shared" si="39"/>
        <v>-62233.73000000004</v>
      </c>
      <c r="G51" s="201">
        <f t="shared" si="39"/>
        <v>13761.299999999988</v>
      </c>
      <c r="H51" s="201">
        <f t="shared" si="39"/>
        <v>-13572.700000000012</v>
      </c>
      <c r="I51" s="201">
        <f t="shared" si="39"/>
        <v>-5572.7000000000116</v>
      </c>
      <c r="J51" s="201">
        <f t="shared" si="39"/>
        <v>70927.299999999988</v>
      </c>
      <c r="K51" s="201">
        <f t="shared" si="39"/>
        <v>21927.299999999988</v>
      </c>
      <c r="L51" s="201">
        <f t="shared" si="39"/>
        <v>15427.299999999988</v>
      </c>
      <c r="M51" s="201">
        <f t="shared" si="39"/>
        <v>40427.299999999988</v>
      </c>
      <c r="N51" s="201">
        <f t="shared" si="39"/>
        <v>62427.299999999988</v>
      </c>
      <c r="O51" s="201">
        <f t="shared" si="39"/>
        <v>142927.29999999999</v>
      </c>
      <c r="P51" s="201">
        <f t="shared" si="39"/>
        <v>-171236.58000000002</v>
      </c>
      <c r="Q51" s="201">
        <f t="shared" si="39"/>
        <v>-950000</v>
      </c>
      <c r="R51" s="201">
        <f t="shared" si="39"/>
        <v>0</v>
      </c>
      <c r="S51" s="201">
        <f t="shared" si="39"/>
        <v>1208936.6699999997</v>
      </c>
      <c r="T51" s="91">
        <f t="shared" si="39"/>
        <v>436379.79000000027</v>
      </c>
      <c r="U51" s="201">
        <f t="shared" si="39"/>
        <v>20016.080000000075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301</v>
      </c>
      <c r="B52" s="200"/>
      <c r="C52" s="200"/>
      <c r="D52" s="379"/>
      <c r="E52" s="379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0">
        <f>D16-D48</f>
        <v>236188.13</v>
      </c>
      <c r="E53" s="380">
        <f>D53+E51</f>
        <v>1271170.3999999999</v>
      </c>
      <c r="F53" s="210">
        <f t="shared" ref="F53:R53" si="40">E53+F51</f>
        <v>1208936.67</v>
      </c>
      <c r="G53" s="210">
        <f t="shared" si="40"/>
        <v>1222697.97</v>
      </c>
      <c r="H53" s="210">
        <f>G53+H51-H52</f>
        <v>1209125.27</v>
      </c>
      <c r="I53" s="210">
        <f>H53+I51-I52</f>
        <v>1203552.57</v>
      </c>
      <c r="J53" s="210">
        <f>I53+J51-J52</f>
        <v>1274479.8700000001</v>
      </c>
      <c r="K53" s="210">
        <f t="shared" si="40"/>
        <v>1296407.1700000002</v>
      </c>
      <c r="L53" s="210">
        <f t="shared" si="40"/>
        <v>1311834.4700000002</v>
      </c>
      <c r="M53" s="210">
        <f t="shared" si="40"/>
        <v>1352261.7700000003</v>
      </c>
      <c r="N53" s="210">
        <f t="shared" si="40"/>
        <v>1414689.0700000003</v>
      </c>
      <c r="O53" s="210">
        <f t="shared" si="40"/>
        <v>1557616.3700000003</v>
      </c>
      <c r="P53" s="210">
        <f t="shared" si="40"/>
        <v>1386379.7900000003</v>
      </c>
      <c r="Q53" s="210">
        <f t="shared" si="40"/>
        <v>436379.79000000027</v>
      </c>
      <c r="R53" s="210">
        <f t="shared" si="40"/>
        <v>436379.79000000027</v>
      </c>
      <c r="S53" s="211"/>
      <c r="T53" s="211"/>
      <c r="U53" s="210">
        <f>U16-U48</f>
        <v>20016.080000000075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60" t="s">
        <v>295</v>
      </c>
      <c r="W55" s="348" t="s">
        <v>296</v>
      </c>
      <c r="X55" s="184"/>
      <c r="Y55" s="106"/>
      <c r="Z55" s="107"/>
      <c r="AA55" s="14"/>
      <c r="AB55" s="14"/>
    </row>
    <row r="56" spans="1:28" ht="18" x14ac:dyDescent="0.25">
      <c r="A56" s="298" t="s">
        <v>239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166</v>
      </c>
      <c r="N56" s="338"/>
      <c r="O56" s="166"/>
      <c r="P56" s="339" t="s">
        <v>264</v>
      </c>
      <c r="Q56" s="175" t="s">
        <v>129</v>
      </c>
      <c r="R56" s="340"/>
      <c r="S56" s="341"/>
      <c r="T56" s="78" t="s">
        <v>300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281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260</v>
      </c>
      <c r="M57" s="163" t="s">
        <v>297</v>
      </c>
      <c r="N57" s="238"/>
      <c r="O57" s="170"/>
      <c r="P57" s="339" t="s">
        <v>266</v>
      </c>
      <c r="Q57" s="176" t="s">
        <v>129</v>
      </c>
      <c r="R57" s="340"/>
      <c r="S57" s="341"/>
      <c r="T57" s="366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261</v>
      </c>
      <c r="M58" s="163" t="s">
        <v>297</v>
      </c>
      <c r="N58" s="239"/>
      <c r="O58" s="170"/>
      <c r="P58" s="339" t="s">
        <v>262</v>
      </c>
      <c r="Q58" s="176" t="s">
        <v>129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256</v>
      </c>
      <c r="M59" s="78" t="s">
        <v>306</v>
      </c>
      <c r="N59" s="364"/>
      <c r="O59" s="174"/>
      <c r="P59" s="339" t="s">
        <v>265</v>
      </c>
      <c r="Q59" s="176" t="s">
        <v>129</v>
      </c>
      <c r="R59" s="340"/>
      <c r="S59" s="341"/>
      <c r="T59" s="78" t="s">
        <v>284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349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259</v>
      </c>
      <c r="M60" s="78" t="s">
        <v>297</v>
      </c>
      <c r="N60" s="364"/>
      <c r="O60" s="174"/>
      <c r="P60" s="343" t="s">
        <v>263</v>
      </c>
      <c r="Q60" s="176" t="s">
        <v>156</v>
      </c>
      <c r="R60" s="340"/>
      <c r="S60" s="341"/>
      <c r="T60" s="366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280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257</v>
      </c>
      <c r="M61" s="78" t="s">
        <v>165</v>
      </c>
      <c r="N61" s="364"/>
      <c r="O61" s="174"/>
      <c r="P61" s="344" t="s">
        <v>267</v>
      </c>
      <c r="Q61" s="176" t="s">
        <v>235</v>
      </c>
      <c r="R61" s="340"/>
      <c r="S61" s="341"/>
      <c r="T61" s="366" t="s">
        <v>241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341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255</v>
      </c>
      <c r="M62" s="78" t="s">
        <v>287</v>
      </c>
      <c r="N62" s="364"/>
      <c r="O62" s="217"/>
      <c r="P62" s="344" t="s">
        <v>302</v>
      </c>
      <c r="Q62" s="176" t="s">
        <v>293</v>
      </c>
      <c r="R62" s="340"/>
      <c r="S62" s="341"/>
      <c r="T62" s="366" t="s">
        <v>305</v>
      </c>
      <c r="U62" s="367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304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258</v>
      </c>
      <c r="M63" s="78" t="s">
        <v>254</v>
      </c>
      <c r="N63" s="365"/>
      <c r="O63" s="181"/>
      <c r="P63" s="330" t="s">
        <v>269</v>
      </c>
      <c r="Q63" s="175" t="s">
        <v>157</v>
      </c>
      <c r="R63" s="340"/>
      <c r="S63" s="341"/>
      <c r="T63" s="78" t="s">
        <v>299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312</v>
      </c>
      <c r="C64" s="77"/>
      <c r="D64" s="34"/>
      <c r="E64" s="34"/>
      <c r="F64" s="34"/>
      <c r="G64" s="34"/>
      <c r="H64" s="34"/>
      <c r="I64" s="34"/>
      <c r="J64" s="34"/>
      <c r="K64" s="323"/>
      <c r="L64" s="411" t="s">
        <v>337</v>
      </c>
      <c r="M64" s="78" t="s">
        <v>331</v>
      </c>
      <c r="N64" s="365"/>
      <c r="O64" s="181"/>
      <c r="P64" s="330" t="s">
        <v>270</v>
      </c>
      <c r="Q64" s="175" t="s">
        <v>157</v>
      </c>
      <c r="R64" s="340"/>
      <c r="S64" s="341"/>
      <c r="T64" s="78" t="s">
        <v>316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1" t="s">
        <v>286</v>
      </c>
      <c r="M65" s="78" t="s">
        <v>244</v>
      </c>
      <c r="N65" s="365"/>
      <c r="O65" s="164"/>
      <c r="P65" s="330" t="s">
        <v>271</v>
      </c>
      <c r="Q65" s="175" t="s">
        <v>157</v>
      </c>
      <c r="R65" s="340"/>
      <c r="S65" s="341"/>
      <c r="T65" s="78" t="s">
        <v>315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285</v>
      </c>
      <c r="C66" s="34"/>
      <c r="D66" s="34"/>
      <c r="E66" s="34"/>
      <c r="F66" s="34"/>
      <c r="G66" s="34"/>
      <c r="H66" s="34"/>
      <c r="I66" s="34"/>
      <c r="J66" s="34"/>
      <c r="K66" s="323"/>
      <c r="L66" s="411" t="s">
        <v>338</v>
      </c>
      <c r="M66" s="78" t="s">
        <v>333</v>
      </c>
      <c r="N66" s="364"/>
      <c r="O66" s="164"/>
      <c r="P66" s="330" t="s">
        <v>272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342</v>
      </c>
      <c r="C67" s="34"/>
      <c r="D67" s="34"/>
      <c r="E67" s="34"/>
      <c r="F67" s="34"/>
      <c r="G67" s="34"/>
      <c r="H67" s="34"/>
      <c r="I67" s="34"/>
      <c r="J67" s="34"/>
      <c r="K67" s="323"/>
      <c r="L67" s="411" t="s">
        <v>278</v>
      </c>
      <c r="M67" s="78" t="s">
        <v>303</v>
      </c>
      <c r="N67" s="365"/>
      <c r="O67" s="164"/>
      <c r="P67" s="330" t="s">
        <v>268</v>
      </c>
      <c r="Q67" s="175" t="s">
        <v>250</v>
      </c>
      <c r="R67" s="340"/>
      <c r="S67" s="341"/>
      <c r="T67" s="366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8" t="s">
        <v>317</v>
      </c>
      <c r="C68" s="34"/>
      <c r="D68" s="34"/>
      <c r="E68" s="34"/>
      <c r="F68" s="34"/>
      <c r="G68" s="34"/>
      <c r="H68" s="34"/>
      <c r="I68" s="34"/>
      <c r="J68" s="34"/>
      <c r="K68" s="34"/>
      <c r="L68" s="411" t="s">
        <v>339</v>
      </c>
      <c r="M68" s="78" t="s">
        <v>334</v>
      </c>
      <c r="N68" s="365"/>
      <c r="O68" s="164"/>
      <c r="P68" s="330" t="s">
        <v>273</v>
      </c>
      <c r="Q68" s="175" t="s">
        <v>162</v>
      </c>
      <c r="R68" s="340"/>
      <c r="S68" s="341"/>
      <c r="T68" s="78" t="s">
        <v>297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350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340</v>
      </c>
      <c r="M69" s="412" t="s">
        <v>343</v>
      </c>
      <c r="N69" s="240"/>
      <c r="O69" s="164"/>
      <c r="P69" s="330" t="s">
        <v>274</v>
      </c>
      <c r="Q69" s="175" t="s">
        <v>163</v>
      </c>
      <c r="R69" s="340"/>
      <c r="S69" s="341"/>
      <c r="T69" s="366" t="s">
        <v>298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355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350" t="s">
        <v>292</v>
      </c>
      <c r="N70" s="351">
        <f>COUNTA(M57:M69)</f>
        <v>13</v>
      </c>
      <c r="O70" s="164"/>
      <c r="P70" s="334" t="s">
        <v>275</v>
      </c>
      <c r="Q70" s="359" t="s">
        <v>164</v>
      </c>
      <c r="R70" s="353"/>
      <c r="S70" s="354"/>
      <c r="T70" s="412" t="s">
        <v>253</v>
      </c>
      <c r="U70" s="354"/>
      <c r="V70" s="359">
        <v>1</v>
      </c>
      <c r="W70" s="361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313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5"/>
      <c r="R71" s="355"/>
      <c r="S71" s="356"/>
      <c r="T71" s="356"/>
      <c r="U71" s="357" t="s">
        <v>294</v>
      </c>
      <c r="V71" s="358">
        <f>SUM(V56:V70)</f>
        <v>15</v>
      </c>
      <c r="W71" s="362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314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324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239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240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U27" sqref="U27:U35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289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251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252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3080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0</v>
      </c>
      <c r="H12" s="9">
        <f>IF(H$6="Actual",'9397 BOEE'!H12,0)</f>
        <v>0</v>
      </c>
      <c r="I12" s="9">
        <f>IF(I$6="Actual",'9397 BOEE'!I12,0)</f>
        <v>0</v>
      </c>
      <c r="J12" s="9">
        <f>IF(J$6="Actual",'9397 BOEE'!J12,0)</f>
        <v>0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489762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0</v>
      </c>
      <c r="H14" s="9">
        <f>IF(H$6="Actual",'9397 BOEE'!H14,0)</f>
        <v>0</v>
      </c>
      <c r="I14" s="9">
        <f>IF(I$6="Actual",'9397 BOEE'!I14,0)</f>
        <v>0</v>
      </c>
      <c r="J14" s="9">
        <f>IF(J$6="Actual",'9397 BOEE'!J14,0)</f>
        <v>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v>0</v>
      </c>
      <c r="O14" s="9">
        <v>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146125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0</v>
      </c>
      <c r="H16" s="201">
        <f t="shared" si="2"/>
        <v>0</v>
      </c>
      <c r="I16" s="201">
        <f t="shared" si="2"/>
        <v>0</v>
      </c>
      <c r="J16" s="201">
        <f t="shared" si="2"/>
        <v>0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638967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0</v>
      </c>
      <c r="K18" s="374">
        <v>0</v>
      </c>
      <c r="L18" s="374">
        <v>0</v>
      </c>
      <c r="M18" s="374">
        <v>0</v>
      </c>
      <c r="N18" s="374">
        <v>0</v>
      </c>
      <c r="O18" s="374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0</v>
      </c>
    </row>
    <row r="19" spans="1:21" ht="15" x14ac:dyDescent="0.2">
      <c r="A19" s="37" t="s">
        <v>222</v>
      </c>
      <c r="B19" s="37" t="s">
        <v>329</v>
      </c>
      <c r="D19" s="381">
        <v>53478.75</v>
      </c>
      <c r="E19" s="381">
        <v>57328.75</v>
      </c>
      <c r="F19" s="381">
        <v>43487.5</v>
      </c>
      <c r="G19" s="381">
        <v>0</v>
      </c>
      <c r="H19" s="381">
        <v>0</v>
      </c>
      <c r="I19" s="381">
        <v>0</v>
      </c>
      <c r="J19" s="381">
        <v>0</v>
      </c>
      <c r="K19" s="381">
        <v>0</v>
      </c>
      <c r="L19" s="381">
        <v>0</v>
      </c>
      <c r="M19" s="381">
        <v>0</v>
      </c>
      <c r="N19" s="381">
        <v>0</v>
      </c>
      <c r="O19" s="381">
        <v>0</v>
      </c>
      <c r="P19" s="293">
        <v>0</v>
      </c>
      <c r="Q19" s="293">
        <v>0</v>
      </c>
      <c r="R19" s="293">
        <v>0</v>
      </c>
      <c r="S19" s="294">
        <f t="shared" si="3"/>
        <v>154295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3">
        <f>SUM(D18:D20)</f>
        <v>53478.75</v>
      </c>
      <c r="E21" s="373">
        <f t="shared" ref="E21:S21" si="4">SUM(E18:E20)</f>
        <v>57328.75</v>
      </c>
      <c r="F21" s="373">
        <f t="shared" si="4"/>
        <v>43487.5</v>
      </c>
      <c r="G21" s="373">
        <f t="shared" si="4"/>
        <v>0</v>
      </c>
      <c r="H21" s="373">
        <f t="shared" si="4"/>
        <v>0</v>
      </c>
      <c r="I21" s="373">
        <f t="shared" si="4"/>
        <v>0</v>
      </c>
      <c r="J21" s="373">
        <f t="shared" si="4"/>
        <v>0</v>
      </c>
      <c r="K21" s="373">
        <f t="shared" si="4"/>
        <v>0</v>
      </c>
      <c r="L21" s="373">
        <f t="shared" si="4"/>
        <v>0</v>
      </c>
      <c r="M21" s="373">
        <f t="shared" si="4"/>
        <v>0</v>
      </c>
      <c r="N21" s="373">
        <f t="shared" si="4"/>
        <v>0</v>
      </c>
      <c r="O21" s="373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154295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0</v>
      </c>
      <c r="H23" s="297">
        <f t="shared" si="5"/>
        <v>0</v>
      </c>
      <c r="I23" s="297">
        <f t="shared" si="5"/>
        <v>0</v>
      </c>
      <c r="J23" s="297">
        <f t="shared" si="5"/>
        <v>0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793262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276</v>
      </c>
      <c r="C25" s="37"/>
      <c r="D25" s="352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 t="str">
        <f>IF(G6="Actual",SUM($D23:G23)/SUM($D50:G50)-1,"")</f>
        <v/>
      </c>
      <c r="H25" s="333" t="str">
        <f>IF(H6="Actual",SUM($D23:H23)/SUM($D50:H50)-1,"")</f>
        <v/>
      </c>
      <c r="I25" s="333" t="str">
        <f>IF(I6="Actual",SUM($D23:I23)/SUM($D50:I50)-1,"")</f>
        <v/>
      </c>
      <c r="J25" s="333" t="str">
        <f>IF(J6="Actual",SUM($D23:J23)/SUM($D50:J50)-1,"")</f>
        <v/>
      </c>
      <c r="K25" s="352" t="str">
        <f>IF(K6="Actual",SUM($D23:K23)/SUM($D50:K50)-1,"")</f>
        <v/>
      </c>
      <c r="L25" s="333" t="str">
        <f>IF(L6="Actual",SUM($D23:L23)/SUM($D50:L50)-1,"")</f>
        <v/>
      </c>
      <c r="M25" s="352" t="str">
        <f>IF(M6="Actual",SUM($D23:M23)/SUM($D50:M50)-1,"")</f>
        <v/>
      </c>
      <c r="N25" s="352" t="str">
        <f>IF(N6="Actual",SUM($D23:N23)/SUM($D50:N50)-1,"")</f>
        <v/>
      </c>
      <c r="O25" s="333" t="str">
        <f>IF(O6="Actual",SUM($D23:O23)/SUM($D50:O50)-1,"")</f>
        <v/>
      </c>
      <c r="P25" s="352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U27" s="14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U28" s="14"/>
    </row>
    <row r="29" spans="1:21" x14ac:dyDescent="0.2">
      <c r="U29" s="14"/>
    </row>
    <row r="30" spans="1:21" x14ac:dyDescent="0.2">
      <c r="U30" s="14"/>
    </row>
    <row r="31" spans="1:21" x14ac:dyDescent="0.2">
      <c r="A31" s="331" t="s">
        <v>347</v>
      </c>
      <c r="U31" s="14"/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0"/>
      <c r="U32" s="415"/>
    </row>
    <row r="33" spans="1:21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  <c r="U33" s="14"/>
    </row>
    <row r="34" spans="1:21" x14ac:dyDescent="0.2">
      <c r="U34" s="14"/>
    </row>
    <row r="35" spans="1:21" x14ac:dyDescent="0.2">
      <c r="B35" t="s">
        <v>36</v>
      </c>
      <c r="U35" s="14"/>
    </row>
    <row r="36" spans="1:21" x14ac:dyDescent="0.2">
      <c r="B36" t="s">
        <v>107</v>
      </c>
    </row>
    <row r="37" spans="1:21" x14ac:dyDescent="0.2">
      <c r="A37" t="s">
        <v>37</v>
      </c>
    </row>
    <row r="38" spans="1:21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21" x14ac:dyDescent="0.2">
      <c r="A39" t="s">
        <v>58</v>
      </c>
      <c r="B39" t="s">
        <v>189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21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21" x14ac:dyDescent="0.2">
      <c r="A41" t="s">
        <v>133</v>
      </c>
      <c r="B41" t="s">
        <v>190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21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21" ht="15.75" x14ac:dyDescent="0.2">
      <c r="A43" s="200" t="s">
        <v>131</v>
      </c>
      <c r="B43" s="200"/>
      <c r="C43" s="200"/>
      <c r="D43" s="371">
        <f>SUM(D37:D42)</f>
        <v>224016.75</v>
      </c>
      <c r="E43" s="371">
        <f t="shared" ref="E43:S43" si="7">SUM(E37:E42)</f>
        <v>264042</v>
      </c>
      <c r="F43" s="371">
        <f t="shared" si="7"/>
        <v>160919.75</v>
      </c>
      <c r="G43" s="371">
        <f t="shared" si="7"/>
        <v>170507.5</v>
      </c>
      <c r="H43" s="371">
        <f t="shared" si="7"/>
        <v>132816.75</v>
      </c>
      <c r="I43" s="371">
        <f t="shared" si="7"/>
        <v>141342.75</v>
      </c>
      <c r="J43" s="371">
        <f t="shared" si="7"/>
        <v>207829.75</v>
      </c>
      <c r="K43" s="371">
        <f t="shared" si="7"/>
        <v>168690.25</v>
      </c>
      <c r="L43" s="371">
        <f t="shared" si="7"/>
        <v>161893.75</v>
      </c>
      <c r="M43" s="371">
        <f t="shared" si="7"/>
        <v>187069</v>
      </c>
      <c r="N43" s="371">
        <f t="shared" si="7"/>
        <v>215780.75</v>
      </c>
      <c r="O43" s="371">
        <f t="shared" si="7"/>
        <v>289883.5</v>
      </c>
      <c r="P43" s="371">
        <f t="shared" si="7"/>
        <v>-99625</v>
      </c>
      <c r="Q43" s="371">
        <f t="shared" si="7"/>
        <v>0</v>
      </c>
      <c r="R43" s="371">
        <f t="shared" si="7"/>
        <v>0</v>
      </c>
      <c r="S43" s="91">
        <f t="shared" si="7"/>
        <v>2225167.5</v>
      </c>
    </row>
    <row r="44" spans="1:21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21" x14ac:dyDescent="0.2">
      <c r="A45" t="s">
        <v>220</v>
      </c>
      <c r="B45" t="s">
        <v>221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21" x14ac:dyDescent="0.2">
      <c r="A46" t="s">
        <v>222</v>
      </c>
      <c r="B46" t="s">
        <v>189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2">
        <f t="shared" si="8"/>
        <v>552997.5</v>
      </c>
    </row>
    <row r="47" spans="1:21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21" ht="15.75" x14ac:dyDescent="0.25">
      <c r="A48" s="295" t="s">
        <v>223</v>
      </c>
      <c r="B48" s="295"/>
      <c r="C48" s="295"/>
      <c r="D48" s="373">
        <f>SUM(D45:D47)</f>
        <v>55051.25</v>
      </c>
      <c r="E48" s="373">
        <f t="shared" ref="E48:R48" si="9">SUM(E45:E47)</f>
        <v>64841.25</v>
      </c>
      <c r="F48" s="373">
        <f t="shared" si="9"/>
        <v>37046.25</v>
      </c>
      <c r="G48" s="373">
        <f t="shared" si="9"/>
        <v>39422.5</v>
      </c>
      <c r="H48" s="373">
        <f t="shared" si="9"/>
        <v>30771.25</v>
      </c>
      <c r="I48" s="373">
        <f t="shared" si="9"/>
        <v>32431.25</v>
      </c>
      <c r="J48" s="373">
        <f t="shared" si="9"/>
        <v>46966.25</v>
      </c>
      <c r="K48" s="373">
        <f t="shared" si="9"/>
        <v>38823.75</v>
      </c>
      <c r="L48" s="373">
        <f t="shared" si="9"/>
        <v>37746.25</v>
      </c>
      <c r="M48" s="373">
        <f t="shared" si="9"/>
        <v>44360</v>
      </c>
      <c r="N48" s="373">
        <f t="shared" si="9"/>
        <v>52801.25</v>
      </c>
      <c r="O48" s="373">
        <f t="shared" si="9"/>
        <v>72757.5</v>
      </c>
      <c r="P48" s="373">
        <f t="shared" si="9"/>
        <v>85</v>
      </c>
      <c r="Q48" s="373">
        <f t="shared" si="9"/>
        <v>0</v>
      </c>
      <c r="R48" s="373">
        <f t="shared" si="9"/>
        <v>0</v>
      </c>
      <c r="S48" s="373">
        <f t="shared" ref="S48" si="10">SUM(S45:S47)</f>
        <v>553018.75</v>
      </c>
    </row>
    <row r="49" spans="1:19" ht="15" x14ac:dyDescent="0.2">
      <c r="A49" s="37"/>
      <c r="B49" s="37"/>
      <c r="C49" s="37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4"/>
    </row>
    <row r="50" spans="1:19" ht="16.5" thickBot="1" x14ac:dyDescent="0.3">
      <c r="A50" s="295" t="s">
        <v>224</v>
      </c>
      <c r="B50" s="37"/>
      <c r="C50" s="37"/>
      <c r="D50" s="375">
        <f>D43+D48</f>
        <v>279068</v>
      </c>
      <c r="E50" s="375">
        <f t="shared" ref="E50:S50" si="11">E43+E48</f>
        <v>328883.25</v>
      </c>
      <c r="F50" s="375">
        <f t="shared" si="11"/>
        <v>197966</v>
      </c>
      <c r="G50" s="375">
        <f t="shared" si="11"/>
        <v>209930</v>
      </c>
      <c r="H50" s="375">
        <f t="shared" si="11"/>
        <v>163588</v>
      </c>
      <c r="I50" s="375">
        <f t="shared" si="11"/>
        <v>173774</v>
      </c>
      <c r="J50" s="375">
        <f t="shared" si="11"/>
        <v>254796</v>
      </c>
      <c r="K50" s="375">
        <f t="shared" si="11"/>
        <v>207514</v>
      </c>
      <c r="L50" s="375">
        <f t="shared" si="11"/>
        <v>199640</v>
      </c>
      <c r="M50" s="375">
        <f t="shared" si="11"/>
        <v>231429</v>
      </c>
      <c r="N50" s="375">
        <f t="shared" si="11"/>
        <v>268582</v>
      </c>
      <c r="O50" s="375">
        <f t="shared" si="11"/>
        <v>362641</v>
      </c>
      <c r="P50" s="375">
        <f t="shared" si="11"/>
        <v>-99540</v>
      </c>
      <c r="Q50" s="375">
        <f t="shared" si="11"/>
        <v>0</v>
      </c>
      <c r="R50" s="375">
        <f t="shared" si="11"/>
        <v>0</v>
      </c>
      <c r="S50" s="376">
        <f t="shared" si="11"/>
        <v>2778186.25</v>
      </c>
    </row>
  </sheetData>
  <printOptions horizontalCentered="1"/>
  <pageMargins left="0.45" right="0.45" top="0.75" bottom="0.75" header="0.3" footer="0.3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M50"/>
  <sheetViews>
    <sheetView workbookViewId="0">
      <pane ySplit="4" topLeftCell="A17" activePane="bottomLeft" state="frozen"/>
      <selection activeCell="L17" sqref="L17"/>
      <selection pane="bottomLeft" sqref="A1:M47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0" max="10" width="2.4257812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351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242</v>
      </c>
      <c r="D4" s="289" t="s">
        <v>193</v>
      </c>
      <c r="E4" s="290" t="s">
        <v>243</v>
      </c>
      <c r="F4" s="290"/>
      <c r="G4" s="289" t="s">
        <v>352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332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3080</v>
      </c>
      <c r="D8" s="9"/>
      <c r="E8" s="271">
        <f t="shared" ref="E8:E10" si="1">C8+D8</f>
        <v>3080</v>
      </c>
      <c r="F8" s="271"/>
      <c r="G8" s="273">
        <f>'9397 BOEE'!U11</f>
        <v>500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489762</v>
      </c>
      <c r="D9" s="9"/>
      <c r="E9" s="271">
        <f t="shared" si="1"/>
        <v>489762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146125</v>
      </c>
      <c r="D10" s="9"/>
      <c r="E10" s="271">
        <f t="shared" si="1"/>
        <v>146125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1667967.0699999998</v>
      </c>
      <c r="D11" s="281">
        <f t="shared" ref="D11" si="3">SUM(D6:D10)</f>
        <v>0</v>
      </c>
      <c r="E11" s="281">
        <f t="shared" si="2"/>
        <v>1667967.0699999998</v>
      </c>
      <c r="F11" s="281"/>
      <c r="G11" s="282">
        <f>SUM(G6:G10)</f>
        <v>3944681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638967</v>
      </c>
      <c r="D12" s="283">
        <f>SUM(D8:D10)</f>
        <v>0</v>
      </c>
      <c r="E12" s="283">
        <f>SUM(E8:E10)</f>
        <v>638967</v>
      </c>
      <c r="F12" s="283"/>
      <c r="G12" s="284">
        <f>SUM(G8:G10)</f>
        <v>2390500</v>
      </c>
      <c r="H12" s="285">
        <f>G12-E12</f>
        <v>1751533</v>
      </c>
      <c r="I12" s="274">
        <f>IF(G12=0,0,E12/G12)</f>
        <v>0.26729428989751097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395722.91000000003</v>
      </c>
      <c r="D15" s="9"/>
      <c r="E15" s="271">
        <f t="shared" ref="E15:E42" si="4">C15+D15</f>
        <v>395722.91000000003</v>
      </c>
      <c r="F15" s="271"/>
      <c r="G15" s="273">
        <f>'9397 BOEE'!U19</f>
        <v>1774366</v>
      </c>
      <c r="H15" s="9">
        <f>G15-E15</f>
        <v>1378643.0899999999</v>
      </c>
      <c r="I15" s="274">
        <f t="shared" ref="I15:I43" si="5">IF(G15=0,0,E15/G15)</f>
        <v>0.22302214424757916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1302.25</v>
      </c>
      <c r="D16" s="9"/>
      <c r="E16" s="271">
        <f t="shared" si="4"/>
        <v>1302.25</v>
      </c>
      <c r="F16" s="271"/>
      <c r="G16" s="273">
        <f>'9397 BOEE'!U20</f>
        <v>15000</v>
      </c>
      <c r="H16" s="9">
        <f t="shared" ref="H16:H42" si="6">G16-D16-C16</f>
        <v>13697.75</v>
      </c>
      <c r="I16" s="274">
        <f t="shared" si="5"/>
        <v>8.6816666666666667E-2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0</v>
      </c>
      <c r="D17" s="9"/>
      <c r="E17" s="271">
        <f t="shared" si="4"/>
        <v>0</v>
      </c>
      <c r="F17" s="271"/>
      <c r="G17" s="273">
        <f>'9397 BOEE'!U21</f>
        <v>20000</v>
      </c>
      <c r="H17" s="9">
        <f t="shared" si="6"/>
        <v>20000</v>
      </c>
      <c r="I17" s="274">
        <f t="shared" si="5"/>
        <v>0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6331.97</v>
      </c>
      <c r="D18" s="9"/>
      <c r="E18" s="271">
        <f t="shared" si="4"/>
        <v>6331.97</v>
      </c>
      <c r="F18" s="271"/>
      <c r="G18" s="273">
        <f>'9397 BOEE'!U22</f>
        <v>10000</v>
      </c>
      <c r="H18" s="9">
        <f t="shared" si="6"/>
        <v>3668.0299999999997</v>
      </c>
      <c r="I18" s="274">
        <f t="shared" si="5"/>
        <v>0.63319700000000001</v>
      </c>
    </row>
    <row r="19" spans="1:9" x14ac:dyDescent="0.2">
      <c r="A19" s="267" t="s">
        <v>233</v>
      </c>
      <c r="B19" s="266" t="s">
        <v>234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912.1400000000001</v>
      </c>
      <c r="D23" s="9"/>
      <c r="E23" s="271">
        <f t="shared" si="4"/>
        <v>912.1400000000001</v>
      </c>
      <c r="F23" s="271"/>
      <c r="G23" s="273">
        <f>'9397 BOEE'!U27</f>
        <v>8000</v>
      </c>
      <c r="H23" s="9">
        <f t="shared" si="6"/>
        <v>7087.86</v>
      </c>
      <c r="I23" s="274">
        <f t="shared" si="5"/>
        <v>0.11401750000000001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1762.8899999999999</v>
      </c>
      <c r="D24" s="9"/>
      <c r="E24" s="271">
        <f t="shared" si="4"/>
        <v>1762.8899999999999</v>
      </c>
      <c r="F24" s="271"/>
      <c r="G24" s="273">
        <f>'9397 BOEE'!U28</f>
        <v>15000</v>
      </c>
      <c r="H24" s="9">
        <f t="shared" si="6"/>
        <v>13237.11</v>
      </c>
      <c r="I24" s="274">
        <f t="shared" si="5"/>
        <v>0.11752599999999999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10500</v>
      </c>
      <c r="D25" s="9"/>
      <c r="E25" s="271">
        <f t="shared" si="4"/>
        <v>10500</v>
      </c>
      <c r="F25" s="271"/>
      <c r="G25" s="273">
        <f>'9397 BOEE'!U29</f>
        <v>72000</v>
      </c>
      <c r="H25" s="9">
        <f t="shared" si="6"/>
        <v>61500</v>
      </c>
      <c r="I25" s="274">
        <f t="shared" si="5"/>
        <v>0.14583333333333334</v>
      </c>
    </row>
    <row r="26" spans="1:9" x14ac:dyDescent="0.2">
      <c r="A26" s="267" t="s">
        <v>236</v>
      </c>
      <c r="B26" s="266" t="s">
        <v>237</v>
      </c>
      <c r="C26" s="9">
        <f>'9397 BOEE'!S30</f>
        <v>443.45</v>
      </c>
      <c r="D26" s="9"/>
      <c r="E26" s="271">
        <f t="shared" ref="E26" si="11">C26+D26</f>
        <v>443.45</v>
      </c>
      <c r="F26" s="271"/>
      <c r="G26" s="273">
        <f>'9397 BOEE'!U30</f>
        <v>4000.25</v>
      </c>
      <c r="H26" s="9">
        <f t="shared" ref="H26" si="12">G26-D26-C26</f>
        <v>3556.8</v>
      </c>
      <c r="I26" s="274">
        <f t="shared" si="5"/>
        <v>0.11085557152677958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0</v>
      </c>
      <c r="D27" s="9"/>
      <c r="E27" s="271">
        <f t="shared" si="4"/>
        <v>0</v>
      </c>
      <c r="F27" s="271"/>
      <c r="G27" s="273">
        <f>'9397 BOEE'!U31</f>
        <v>5000</v>
      </c>
      <c r="H27" s="9">
        <f t="shared" si="6"/>
        <v>5000</v>
      </c>
      <c r="I27" s="274">
        <f t="shared" si="5"/>
        <v>0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848.45999999999992</v>
      </c>
      <c r="D28" s="9"/>
      <c r="E28" s="271">
        <f t="shared" si="4"/>
        <v>848.45999999999992</v>
      </c>
      <c r="F28" s="271"/>
      <c r="G28" s="273">
        <f>'9397 BOEE'!U32</f>
        <v>5000</v>
      </c>
      <c r="H28" s="9">
        <f t="shared" si="6"/>
        <v>4151.54</v>
      </c>
      <c r="I28" s="274">
        <f t="shared" si="5"/>
        <v>0.16969199999999998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0</v>
      </c>
      <c r="D30" s="9"/>
      <c r="E30" s="271">
        <f t="shared" si="4"/>
        <v>0</v>
      </c>
      <c r="F30" s="271"/>
      <c r="G30" s="273">
        <f>'9397 BOEE'!U34</f>
        <v>1000</v>
      </c>
      <c r="H30" s="9">
        <f t="shared" si="6"/>
        <v>1000</v>
      </c>
      <c r="I30" s="274">
        <f t="shared" si="5"/>
        <v>0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1473.6399999999999</v>
      </c>
      <c r="D31" s="9"/>
      <c r="E31" s="271">
        <f t="shared" si="4"/>
        <v>1473.6399999999999</v>
      </c>
      <c r="F31" s="271"/>
      <c r="G31" s="273">
        <f>'9397 BOEE'!U35</f>
        <v>10000</v>
      </c>
      <c r="H31" s="9">
        <f t="shared" si="6"/>
        <v>8526.36</v>
      </c>
      <c r="I31" s="274">
        <f t="shared" si="5"/>
        <v>0.14736399999999999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7879</v>
      </c>
      <c r="D32" s="9"/>
      <c r="E32" s="271">
        <f t="shared" si="4"/>
        <v>7879</v>
      </c>
      <c r="F32" s="271"/>
      <c r="G32" s="273">
        <f>'9397 BOEE'!U36</f>
        <v>410621</v>
      </c>
      <c r="H32" s="9">
        <f t="shared" si="6"/>
        <v>402742</v>
      </c>
      <c r="I32" s="274">
        <f t="shared" si="5"/>
        <v>1.9188010355047597E-2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55000</v>
      </c>
      <c r="H34" s="9">
        <f t="shared" si="6"/>
        <v>55000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27785</v>
      </c>
      <c r="D35" s="9"/>
      <c r="E35" s="271">
        <f t="shared" si="4"/>
        <v>27785</v>
      </c>
      <c r="F35" s="271"/>
      <c r="G35" s="273">
        <f>'9397 BOEE'!U39</f>
        <v>324259</v>
      </c>
      <c r="H35" s="9">
        <f t="shared" si="6"/>
        <v>296474</v>
      </c>
      <c r="I35" s="274">
        <f t="shared" si="5"/>
        <v>8.5687675592658955E-2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44.09</v>
      </c>
      <c r="D39" s="9"/>
      <c r="E39" s="271">
        <f t="shared" si="4"/>
        <v>44.09</v>
      </c>
      <c r="F39" s="271"/>
      <c r="G39" s="273">
        <f>'9397 BOEE'!U43</f>
        <v>5000</v>
      </c>
      <c r="H39" s="9">
        <f t="shared" si="6"/>
        <v>4955.91</v>
      </c>
      <c r="I39" s="274">
        <f t="shared" si="5"/>
        <v>8.8180000000000012E-3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4024.6</v>
      </c>
      <c r="D40" s="9"/>
      <c r="E40" s="271">
        <f t="shared" si="4"/>
        <v>4024.6</v>
      </c>
      <c r="F40" s="271"/>
      <c r="G40" s="273">
        <f>'9397 BOEE'!U44</f>
        <v>30000</v>
      </c>
      <c r="H40" s="9">
        <f t="shared" si="6"/>
        <v>25975.4</v>
      </c>
      <c r="I40" s="274">
        <f t="shared" si="5"/>
        <v>0.13415333333333332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0</v>
      </c>
      <c r="D42" s="9"/>
      <c r="E42" s="271">
        <f t="shared" si="4"/>
        <v>0</v>
      </c>
      <c r="F42" s="271"/>
      <c r="G42" s="273">
        <f>'9397 BOEE'!U46</f>
        <v>5000</v>
      </c>
      <c r="H42" s="9">
        <f t="shared" si="6"/>
        <v>5000</v>
      </c>
      <c r="I42" s="274">
        <f t="shared" si="5"/>
        <v>0</v>
      </c>
    </row>
    <row r="43" spans="1:9" x14ac:dyDescent="0.2">
      <c r="A43" s="266"/>
      <c r="B43" s="268" t="s">
        <v>192</v>
      </c>
      <c r="C43" s="280">
        <f>SUM(C15:C42)</f>
        <v>459030.40000000008</v>
      </c>
      <c r="D43" s="280">
        <f>SUM(D15:D42)</f>
        <v>0</v>
      </c>
      <c r="E43" s="280">
        <f>SUM(E15:E42)</f>
        <v>459030.40000000008</v>
      </c>
      <c r="F43" s="280"/>
      <c r="G43" s="280">
        <f>SUM(G15:G42)</f>
        <v>2842945.92</v>
      </c>
      <c r="H43" s="280">
        <f>SUM(H15:H42)</f>
        <v>2383915.52</v>
      </c>
      <c r="I43" s="274">
        <f t="shared" si="5"/>
        <v>0.16146293771216025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179936.59999999992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1208936.67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5" right="0.25" top="0.75" bottom="0.75" header="0.3" footer="0.3"/>
  <pageSetup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353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232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3080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489762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146125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1667967.0699999998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638967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227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395722.91000000003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395722.91000000003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9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1302.25</v>
      </c>
      <c r="F16">
        <v>2</v>
      </c>
      <c r="G16" s="308"/>
      <c r="H16" s="307" t="str">
        <f t="shared" si="2"/>
        <v>Gov Transfer Other Agencies</v>
      </c>
      <c r="I16" s="312">
        <f t="shared" si="3"/>
        <v>27785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14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0</v>
      </c>
      <c r="F17">
        <v>3</v>
      </c>
      <c r="G17" s="308"/>
      <c r="H17" s="307" t="str">
        <f t="shared" si="2"/>
        <v>Rentals</v>
      </c>
      <c r="I17" s="312">
        <f t="shared" si="3"/>
        <v>10500</v>
      </c>
      <c r="J17" s="303"/>
      <c r="K17" s="14"/>
      <c r="L17" s="14"/>
      <c r="M17" s="14"/>
      <c r="N17" s="14"/>
    </row>
    <row r="18" spans="1:14" x14ac:dyDescent="0.2">
      <c r="A18" s="308">
        <f t="shared" si="1"/>
        <v>5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6331.97</v>
      </c>
      <c r="F18">
        <v>4</v>
      </c>
      <c r="G18" s="308"/>
      <c r="H18" s="307" t="str">
        <f t="shared" si="2"/>
        <v>ITD Reimbursements</v>
      </c>
      <c r="I18" s="312">
        <f t="shared" si="3"/>
        <v>7879</v>
      </c>
      <c r="J18" s="303"/>
      <c r="K18" s="14"/>
      <c r="L18" s="14"/>
      <c r="M18" s="14"/>
      <c r="N18" s="14"/>
    </row>
    <row r="19" spans="1:14" x14ac:dyDescent="0.2">
      <c r="A19" s="308">
        <f t="shared" si="1"/>
        <v>14</v>
      </c>
      <c r="B19" s="267" t="s">
        <v>233</v>
      </c>
      <c r="C19" s="266" t="s">
        <v>234</v>
      </c>
      <c r="D19" s="9">
        <f>'Obligations vs Bgt'!E19</f>
        <v>0</v>
      </c>
      <c r="F19">
        <v>5</v>
      </c>
      <c r="G19" s="308"/>
      <c r="H19" s="307" t="str">
        <f t="shared" si="2"/>
        <v>Office Supplies</v>
      </c>
      <c r="I19" s="312">
        <f t="shared" si="3"/>
        <v>6331.97</v>
      </c>
      <c r="J19" s="303"/>
      <c r="K19" s="14"/>
      <c r="L19" s="14"/>
      <c r="M19" s="14"/>
      <c r="N19" s="14"/>
    </row>
    <row r="20" spans="1:14" x14ac:dyDescent="0.2">
      <c r="A20" s="308">
        <f t="shared" si="1"/>
        <v>14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4024.6</v>
      </c>
      <c r="J20" s="303"/>
      <c r="K20" s="14"/>
      <c r="L20" s="14"/>
      <c r="M20" s="14"/>
      <c r="N20" s="14"/>
    </row>
    <row r="21" spans="1:14" x14ac:dyDescent="0.2">
      <c r="A21" s="308">
        <f t="shared" si="1"/>
        <v>14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Communications</v>
      </c>
      <c r="I21" s="312">
        <f t="shared" si="3"/>
        <v>1762.8899999999999</v>
      </c>
      <c r="J21" s="303"/>
      <c r="K21" s="14"/>
      <c r="L21" s="14"/>
      <c r="M21" s="14"/>
      <c r="N21" s="14"/>
    </row>
    <row r="22" spans="1:14" x14ac:dyDescent="0.2">
      <c r="A22" s="308">
        <f t="shared" si="1"/>
        <v>14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Reimbursements To Other Agency</v>
      </c>
      <c r="I22" s="312">
        <f t="shared" si="3"/>
        <v>1473.6399999999999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912.1400000000001</v>
      </c>
      <c r="G23" s="308"/>
      <c r="H23" s="307" t="s">
        <v>248</v>
      </c>
      <c r="I23" s="312">
        <f>I25-SUM(I15:I22)</f>
        <v>3550.3900000000722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1762.8899999999999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3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10500</v>
      </c>
      <c r="G25" s="308"/>
      <c r="H25" s="307" t="s">
        <v>192</v>
      </c>
      <c r="I25" s="312">
        <f>D43</f>
        <v>459030.40000000008</v>
      </c>
      <c r="J25" s="303"/>
      <c r="K25" s="14"/>
      <c r="L25" s="14"/>
      <c r="M25" s="14"/>
      <c r="N25" s="14"/>
    </row>
    <row r="26" spans="1:14" x14ac:dyDescent="0.2">
      <c r="A26" s="308">
        <f t="shared" si="1"/>
        <v>12</v>
      </c>
      <c r="B26" s="267" t="s">
        <v>236</v>
      </c>
      <c r="C26" s="266" t="s">
        <v>237</v>
      </c>
      <c r="D26" s="9">
        <f>'Obligations vs Bgt'!E26</f>
        <v>443.45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14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0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848.45999999999992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14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14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0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8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1473.6399999999999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4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7879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14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14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2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27785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14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14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14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13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44.09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4024.6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14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14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459030.40000000008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179936.59999999992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1208936.67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8"/>
  <sheetViews>
    <sheetView tabSelected="1" topLeftCell="A7" zoomScale="80" zoomScaleNormal="80" workbookViewId="0">
      <selection activeCell="L34" sqref="L34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318</v>
      </c>
      <c r="C2" s="47"/>
      <c r="D2" s="48"/>
      <c r="E2" s="48"/>
      <c r="F2" s="48"/>
      <c r="G2" s="48"/>
      <c r="H2" s="48"/>
      <c r="I2" s="48"/>
      <c r="J2" s="133" t="s">
        <v>309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308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0.25</v>
      </c>
      <c r="W3" s="48"/>
      <c r="X3" s="1"/>
      <c r="Y3" s="1"/>
    </row>
    <row r="4" spans="1:25" ht="15.75" x14ac:dyDescent="0.25">
      <c r="A4" s="47" t="s">
        <v>9</v>
      </c>
      <c r="B4" s="47" t="s">
        <v>289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346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310</v>
      </c>
      <c r="U6" s="53" t="s">
        <v>311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328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79">
        <f t="shared" ref="D11:O11" si="0">SUM(D8:D10)</f>
        <v>0</v>
      </c>
      <c r="E11" s="379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16622</v>
      </c>
      <c r="H14" s="70">
        <v>16622</v>
      </c>
      <c r="I14" s="70">
        <v>16622</v>
      </c>
      <c r="J14" s="70">
        <v>16622</v>
      </c>
      <c r="K14" s="70">
        <v>16622</v>
      </c>
      <c r="L14" s="70">
        <v>24933</v>
      </c>
      <c r="M14" s="70">
        <v>16622</v>
      </c>
      <c r="N14" s="70">
        <v>16622</v>
      </c>
      <c r="O14" s="70">
        <v>16622</v>
      </c>
      <c r="P14" s="70">
        <v>7156</v>
      </c>
      <c r="Q14" s="70">
        <f>'Fcst by Job Class'!S21</f>
        <v>0</v>
      </c>
      <c r="R14" s="70">
        <v>0</v>
      </c>
      <c r="S14" s="70">
        <f t="shared" ref="S14:S17" si="1">SUMIF($D$6:$R$6,$X$2,D14:R14)</f>
        <v>53201.009999999995</v>
      </c>
      <c r="T14" s="70">
        <f t="shared" ref="T14:T17" si="2">SUM(D14:R14)</f>
        <v>218266.01</v>
      </c>
      <c r="U14" s="70">
        <v>216099</v>
      </c>
      <c r="V14" s="71">
        <f>IF(U14=0,0,SUMIF($D$6:$R$6,$X$2,D14:R14)/U14)</f>
        <v>0.24618813599322531</v>
      </c>
      <c r="W14" s="199">
        <f>IF(U14=0,0,T14/U14)</f>
        <v>1.0100278576023027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4</v>
      </c>
      <c r="H17" s="70">
        <v>4</v>
      </c>
      <c r="I17" s="70">
        <v>4</v>
      </c>
      <c r="J17" s="70">
        <v>4</v>
      </c>
      <c r="K17" s="70">
        <v>4</v>
      </c>
      <c r="L17" s="70">
        <v>4</v>
      </c>
      <c r="M17" s="70">
        <v>4</v>
      </c>
      <c r="N17" s="70">
        <v>4</v>
      </c>
      <c r="O17" s="70">
        <v>4</v>
      </c>
      <c r="P17" s="70">
        <v>4</v>
      </c>
      <c r="Q17" s="70">
        <v>0</v>
      </c>
      <c r="R17" s="70">
        <v>0</v>
      </c>
      <c r="S17" s="70">
        <f t="shared" si="1"/>
        <v>15</v>
      </c>
      <c r="T17" s="70">
        <f t="shared" si="2"/>
        <v>55</v>
      </c>
      <c r="U17" s="70">
        <v>48</v>
      </c>
      <c r="V17" s="71">
        <f t="shared" si="3"/>
        <v>0.3125</v>
      </c>
      <c r="W17" s="199">
        <f t="shared" si="4"/>
        <v>1.1458333333333333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0"/>
      <c r="H18" s="400"/>
      <c r="I18" s="400"/>
      <c r="J18" s="70"/>
      <c r="K18" s="400"/>
      <c r="L18" s="400"/>
      <c r="M18" s="401"/>
      <c r="N18" s="400"/>
      <c r="O18" s="400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16626</v>
      </c>
      <c r="H19" s="91">
        <f t="shared" si="5"/>
        <v>16626</v>
      </c>
      <c r="I19" s="91">
        <f t="shared" si="5"/>
        <v>16626</v>
      </c>
      <c r="J19" s="91">
        <f t="shared" si="5"/>
        <v>16626</v>
      </c>
      <c r="K19" s="91">
        <f t="shared" si="5"/>
        <v>16626</v>
      </c>
      <c r="L19" s="91">
        <f t="shared" si="5"/>
        <v>24937</v>
      </c>
      <c r="M19" s="91">
        <f t="shared" si="5"/>
        <v>16626</v>
      </c>
      <c r="N19" s="91">
        <f t="shared" si="5"/>
        <v>16626</v>
      </c>
      <c r="O19" s="91">
        <f t="shared" si="5"/>
        <v>16626</v>
      </c>
      <c r="P19" s="91">
        <f t="shared" si="5"/>
        <v>7160</v>
      </c>
      <c r="Q19" s="91">
        <f t="shared" si="5"/>
        <v>0</v>
      </c>
      <c r="R19" s="91">
        <f t="shared" si="5"/>
        <v>0</v>
      </c>
      <c r="S19" s="91">
        <f t="shared" si="5"/>
        <v>53216.009999999995</v>
      </c>
      <c r="T19" s="91">
        <f t="shared" si="5"/>
        <v>218321.01</v>
      </c>
      <c r="U19" s="91">
        <f t="shared" si="5"/>
        <v>219647</v>
      </c>
      <c r="V19" s="92">
        <f>SUMIF($D$6:$R$6,$X$2,D19:R19)/U19</f>
        <v>0.24227970334218085</v>
      </c>
      <c r="W19" s="202">
        <f>T19/U19</f>
        <v>0.99396308622471519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79">
        <f t="shared" ref="D22:U22" si="6">D11-D19</f>
        <v>-9478.93</v>
      </c>
      <c r="E22" s="379">
        <f t="shared" si="6"/>
        <v>-16713.669999999998</v>
      </c>
      <c r="F22" s="91">
        <f t="shared" si="6"/>
        <v>-27023.41</v>
      </c>
      <c r="G22" s="91">
        <f t="shared" si="6"/>
        <v>-16626</v>
      </c>
      <c r="H22" s="91">
        <f t="shared" si="6"/>
        <v>-16626</v>
      </c>
      <c r="I22" s="91">
        <f t="shared" si="6"/>
        <v>-16626</v>
      </c>
      <c r="J22" s="91">
        <f t="shared" si="6"/>
        <v>-16626</v>
      </c>
      <c r="K22" s="91">
        <f t="shared" si="6"/>
        <v>-16626</v>
      </c>
      <c r="L22" s="91">
        <f t="shared" si="6"/>
        <v>-24937</v>
      </c>
      <c r="M22" s="91">
        <f t="shared" si="6"/>
        <v>-16626</v>
      </c>
      <c r="N22" s="91">
        <f t="shared" si="6"/>
        <v>-16626</v>
      </c>
      <c r="O22" s="91">
        <f t="shared" si="6"/>
        <v>-16626</v>
      </c>
      <c r="P22" s="91">
        <f t="shared" si="6"/>
        <v>-7160</v>
      </c>
      <c r="Q22" s="91">
        <f t="shared" si="6"/>
        <v>0</v>
      </c>
      <c r="R22" s="91">
        <f t="shared" si="6"/>
        <v>0</v>
      </c>
      <c r="S22" s="91">
        <f t="shared" si="6"/>
        <v>-53216.009999999995</v>
      </c>
      <c r="T22" s="91">
        <f t="shared" si="6"/>
        <v>-218321.01</v>
      </c>
      <c r="U22" s="91">
        <f t="shared" si="6"/>
        <v>0</v>
      </c>
      <c r="V22" s="405"/>
      <c r="W22" s="209"/>
      <c r="X22" s="184"/>
      <c r="Y22" s="14"/>
    </row>
    <row r="23" spans="1:25" ht="15.75" x14ac:dyDescent="0.2">
      <c r="A23" s="90" t="s">
        <v>301</v>
      </c>
      <c r="B23" s="90"/>
      <c r="C23" s="90"/>
      <c r="D23" s="379"/>
      <c r="E23" s="379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5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0">
        <f>D11-D19</f>
        <v>-9478.93</v>
      </c>
      <c r="E24" s="380">
        <f>D24+E22</f>
        <v>-26192.6</v>
      </c>
      <c r="F24" s="130">
        <f t="shared" ref="F24:R24" si="7">E24+F22</f>
        <v>-53216.009999999995</v>
      </c>
      <c r="G24" s="130">
        <f t="shared" si="7"/>
        <v>-69842.009999999995</v>
      </c>
      <c r="H24" s="130">
        <f>G24+H22-H23</f>
        <v>-86468.01</v>
      </c>
      <c r="I24" s="130">
        <f>H24+I22-I23</f>
        <v>-103094.01</v>
      </c>
      <c r="J24" s="130">
        <f>I24+J22-J23</f>
        <v>-119720.01</v>
      </c>
      <c r="K24" s="130">
        <f t="shared" si="7"/>
        <v>-136346.01</v>
      </c>
      <c r="L24" s="130">
        <f t="shared" si="7"/>
        <v>-161283.01</v>
      </c>
      <c r="M24" s="130">
        <f t="shared" si="7"/>
        <v>-177909.01</v>
      </c>
      <c r="N24" s="130">
        <f t="shared" si="7"/>
        <v>-194535.01</v>
      </c>
      <c r="O24" s="130">
        <f t="shared" si="7"/>
        <v>-211161.01</v>
      </c>
      <c r="P24" s="130">
        <f t="shared" si="7"/>
        <v>-218321.01</v>
      </c>
      <c r="Q24" s="130">
        <f t="shared" si="7"/>
        <v>-218321.01</v>
      </c>
      <c r="R24" s="130">
        <f t="shared" si="7"/>
        <v>-218321.01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2" t="s">
        <v>117</v>
      </c>
      <c r="B25" s="403"/>
      <c r="C25" s="403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8"/>
      <c r="U25" s="388"/>
      <c r="V25" s="388"/>
      <c r="W25" s="72"/>
      <c r="X25" s="184"/>
      <c r="Y25" s="106"/>
    </row>
    <row r="26" spans="1:25" ht="36" x14ac:dyDescent="0.25">
      <c r="A26" s="402"/>
      <c r="B26" s="403"/>
      <c r="C26" s="403"/>
      <c r="D26" s="86"/>
      <c r="E26" s="86"/>
      <c r="F26" s="86"/>
      <c r="G26" s="86"/>
      <c r="H26" s="86"/>
      <c r="I26" s="86"/>
      <c r="J26" s="86"/>
      <c r="K26" s="86"/>
      <c r="L26" s="34"/>
      <c r="M26" s="374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60" t="s">
        <v>295</v>
      </c>
      <c r="W26" s="348" t="s">
        <v>296</v>
      </c>
      <c r="X26" s="184"/>
      <c r="Y26" s="106"/>
    </row>
    <row r="27" spans="1:25" ht="18" x14ac:dyDescent="0.25">
      <c r="A27" s="404" t="s">
        <v>239</v>
      </c>
      <c r="B27" s="77"/>
      <c r="C27" s="403"/>
      <c r="D27" s="86"/>
      <c r="E27" s="86"/>
      <c r="F27" s="86"/>
      <c r="G27" s="86"/>
      <c r="H27" s="86"/>
      <c r="I27" s="86"/>
      <c r="J27" s="86"/>
      <c r="K27" s="86"/>
      <c r="L27" s="397"/>
      <c r="M27" s="382"/>
      <c r="N27" s="85"/>
      <c r="O27" s="85"/>
      <c r="P27" s="384" t="s">
        <v>320</v>
      </c>
      <c r="Q27" s="176" t="s">
        <v>293</v>
      </c>
      <c r="R27" s="340"/>
      <c r="S27" s="341"/>
      <c r="T27" s="174" t="s">
        <v>319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3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8"/>
      <c r="P28" s="344" t="s">
        <v>323</v>
      </c>
      <c r="Q28" s="176" t="s">
        <v>293</v>
      </c>
      <c r="R28" s="340"/>
      <c r="S28" s="341"/>
      <c r="T28" s="366" t="s">
        <v>336</v>
      </c>
      <c r="U28" s="367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3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3"/>
      <c r="O29" s="398"/>
      <c r="P29" s="385"/>
      <c r="Q29" s="386"/>
      <c r="R29" s="73"/>
      <c r="S29" s="367"/>
      <c r="T29" s="78"/>
      <c r="U29" s="367"/>
      <c r="V29" s="79"/>
      <c r="W29" s="387"/>
      <c r="X29" s="184"/>
      <c r="Y29" s="106"/>
    </row>
    <row r="30" spans="1:25" ht="18" x14ac:dyDescent="0.25">
      <c r="A30" s="402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3"/>
      <c r="O30" s="366"/>
      <c r="P30" s="385"/>
      <c r="Q30" s="386"/>
      <c r="R30" s="73"/>
      <c r="S30" s="367"/>
      <c r="T30" s="78" t="s">
        <v>294</v>
      </c>
      <c r="U30" s="367"/>
      <c r="V30" s="79">
        <f>SUM(V27:V29)</f>
        <v>2</v>
      </c>
      <c r="W30" s="387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354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3"/>
      <c r="O31" s="366"/>
      <c r="P31" s="390"/>
      <c r="Q31" s="391"/>
      <c r="R31" s="392"/>
      <c r="S31" s="393"/>
      <c r="T31" s="394"/>
      <c r="U31" s="393"/>
      <c r="V31" s="395"/>
      <c r="W31" s="396"/>
      <c r="X31" s="184"/>
      <c r="Y31" s="14"/>
    </row>
    <row r="32" spans="1:25" ht="18" x14ac:dyDescent="0.25">
      <c r="A32" s="171">
        <v>202</v>
      </c>
      <c r="B32" s="75" t="s">
        <v>321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3"/>
      <c r="O32" s="366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322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3"/>
      <c r="O33" s="399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330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7"/>
      <c r="T34" s="366"/>
      <c r="U34" s="367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324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8"/>
      <c r="U35" s="388"/>
      <c r="V35" s="388"/>
      <c r="W35" s="389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8"/>
      <c r="U36" s="388"/>
      <c r="V36" s="388"/>
      <c r="W36" s="389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8"/>
      <c r="U37" s="388"/>
      <c r="V37" s="388"/>
      <c r="W37" s="389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  <pageSetup scale="3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279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229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230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'9500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2025-10-03T15:16:07Z</cp:lastPrinted>
  <dcterms:created xsi:type="dcterms:W3CDTF">2015-04-28T12:49:55Z</dcterms:created>
  <dcterms:modified xsi:type="dcterms:W3CDTF">2025-10-03T21:07:40Z</dcterms:modified>
</cp:coreProperties>
</file>