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iowamac-my.sharepoint.com/personal/john_parker_dom_iowa_gov/Documents/PAY/FY2026/"/>
    </mc:Choice>
  </mc:AlternateContent>
  <xr:revisionPtr revIDLastSave="327" documentId="8_{3E27D179-DD5E-41A5-864F-0C4CDAA656BE}" xr6:coauthVersionLast="47" xr6:coauthVersionMax="47" xr10:uidLastSave="{DE65E545-D946-41F1-A1B8-35FFA9927FF4}"/>
  <bookViews>
    <workbookView xWindow="28680" yWindow="-120" windowWidth="29040" windowHeight="15840" firstSheet="2" activeTab="2" xr2:uid="{00000000-000D-0000-FFFF-FFFF00000000}"/>
  </bookViews>
  <sheets>
    <sheet name="Data" sheetId="1" state="hidden" r:id="rId1"/>
    <sheet name="Notes" sheetId="3" state="hidden" r:id="rId2"/>
    <sheet name="Payment" sheetId="2" r:id="rId3"/>
    <sheet name="PaymentCodingDetailCheck-old" sheetId="8" state="hidden" r:id="rId4"/>
    <sheet name="PaymentCodingTotal" sheetId="13" r:id="rId5"/>
    <sheet name="PaymentCodingDetai_Sept-May" sheetId="12" r:id="rId6"/>
    <sheet name="PaymentCodingDetai_Sept-May-old" sheetId="5" state="hidden" r:id="rId7"/>
    <sheet name="PaymentCodingDetail_June" sheetId="14" r:id="rId8"/>
    <sheet name="PaymentBreakdown-FY26 and beyon" sheetId="11" state="hidden" r:id="rId9"/>
    <sheet name="PaymentCodingDetail_June-old" sheetId="7" state="hidden" r:id="rId10"/>
    <sheet name="PaymentCodingTotal-old" sheetId="6" state="hidden" r:id="rId11"/>
    <sheet name="Final Total Check-old" sheetId="10" state="hidden" r:id="rId12"/>
    <sheet name="Data_Detail-old" sheetId="4" state="hidden" r:id="rId13"/>
  </sheets>
  <definedNames>
    <definedName name="AEA_Name" localSheetId="11">#REF!</definedName>
    <definedName name="AEA_Name" localSheetId="5">#REF!</definedName>
    <definedName name="AEA_Name" localSheetId="6">#REF!</definedName>
    <definedName name="AEA_Name" localSheetId="7">#REF!</definedName>
    <definedName name="AEA_Name" localSheetId="9">#REF!</definedName>
    <definedName name="AEA_Name" localSheetId="3">#REF!</definedName>
    <definedName name="AEA_Name" localSheetId="4">#REF!</definedName>
    <definedName name="AEA_Name" localSheetId="10">#REF!</definedName>
    <definedName name="AEA_Name">#REF!</definedName>
    <definedName name="_xlnm.Print_Area" localSheetId="11">'Final Total Check-old'!$A$1:$K$26</definedName>
    <definedName name="_xlnm.Print_Area" localSheetId="5">'PaymentCodingDetai_Sept-May'!$A$1:$I$24</definedName>
    <definedName name="_xlnm.Print_Area" localSheetId="6">'PaymentCodingDetai_Sept-May-old'!$A$1:$I$36</definedName>
    <definedName name="_xlnm.Print_Area" localSheetId="7">PaymentCodingDetail_June!$A$1:$I$24</definedName>
    <definedName name="_xlnm.Print_Area" localSheetId="9">'PaymentCodingDetail_June-old'!$A$1:$I$36</definedName>
    <definedName name="_xlnm.Print_Area" localSheetId="3">'PaymentCodingDetailCheck-old'!$A$1:$I$36</definedName>
    <definedName name="_xlnm.Print_Area" localSheetId="4">PaymentCodingTotal!$A$1:$I$36</definedName>
    <definedName name="_xlnm.Print_Area" localSheetId="10">'PaymentCodingTotal-old'!$A$1:$I$36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4" l="1"/>
  <c r="A14" i="14"/>
  <c r="B11" i="14"/>
  <c r="B23" i="14" s="1"/>
  <c r="A11" i="14"/>
  <c r="A23" i="14" s="1"/>
  <c r="A10" i="14"/>
  <c r="A22" i="14" s="1"/>
  <c r="A9" i="14"/>
  <c r="A21" i="14" s="1"/>
  <c r="A8" i="14"/>
  <c r="A20" i="14" s="1"/>
  <c r="A7" i="14"/>
  <c r="A19" i="14" s="1"/>
  <c r="A6" i="14"/>
  <c r="B6" i="14" s="1"/>
  <c r="B18" i="14" s="1"/>
  <c r="A5" i="14"/>
  <c r="B5" i="14" s="1"/>
  <c r="B17" i="14" s="1"/>
  <c r="A4" i="14"/>
  <c r="A16" i="14" s="1"/>
  <c r="A3" i="14"/>
  <c r="A15" i="14" s="1"/>
  <c r="K1" i="14"/>
  <c r="A1" i="14" s="1"/>
  <c r="D5" i="13"/>
  <c r="B14" i="13"/>
  <c r="A14" i="13"/>
  <c r="A11" i="13"/>
  <c r="B11" i="13" s="1"/>
  <c r="B23" i="13" s="1"/>
  <c r="A10" i="13"/>
  <c r="A22" i="13" s="1"/>
  <c r="A9" i="13"/>
  <c r="A21" i="13" s="1"/>
  <c r="D21" i="13" s="1"/>
  <c r="A8" i="13"/>
  <c r="A20" i="13" s="1"/>
  <c r="D20" i="13" s="1"/>
  <c r="A7" i="13"/>
  <c r="A19" i="13" s="1"/>
  <c r="D19" i="13" s="1"/>
  <c r="A6" i="13"/>
  <c r="A18" i="13" s="1"/>
  <c r="C18" i="13" s="1"/>
  <c r="A5" i="13"/>
  <c r="A17" i="13" s="1"/>
  <c r="A4" i="13"/>
  <c r="A16" i="13" s="1"/>
  <c r="A3" i="13"/>
  <c r="A15" i="13" s="1"/>
  <c r="K1" i="13"/>
  <c r="C9" i="13" s="1"/>
  <c r="A1" i="13"/>
  <c r="B14" i="12"/>
  <c r="A14" i="12"/>
  <c r="A11" i="12"/>
  <c r="A23" i="12" s="1"/>
  <c r="A10" i="12"/>
  <c r="A22" i="12" s="1"/>
  <c r="A9" i="12"/>
  <c r="B9" i="12" s="1"/>
  <c r="B21" i="12" s="1"/>
  <c r="A8" i="12"/>
  <c r="I8" i="12" s="1"/>
  <c r="A7" i="12"/>
  <c r="A19" i="12" s="1"/>
  <c r="A6" i="12"/>
  <c r="A18" i="12" s="1"/>
  <c r="A5" i="12"/>
  <c r="I5" i="12" s="1"/>
  <c r="A4" i="12"/>
  <c r="I4" i="12" s="1"/>
  <c r="A3" i="12"/>
  <c r="A15" i="12" s="1"/>
  <c r="K1" i="12"/>
  <c r="D8" i="12" s="1"/>
  <c r="B3" i="14" l="1"/>
  <c r="B15" i="14" s="1"/>
  <c r="E4" i="13"/>
  <c r="A18" i="14"/>
  <c r="F3" i="13"/>
  <c r="I11" i="12"/>
  <c r="D22" i="13"/>
  <c r="G10" i="13"/>
  <c r="D15" i="13"/>
  <c r="H9" i="13"/>
  <c r="C16" i="13"/>
  <c r="I8" i="13"/>
  <c r="C17" i="13"/>
  <c r="D5" i="12"/>
  <c r="D5" i="14" s="1"/>
  <c r="C20" i="13"/>
  <c r="J29" i="14"/>
  <c r="J30" i="14"/>
  <c r="J27" i="14"/>
  <c r="J35" i="14"/>
  <c r="G8" i="12"/>
  <c r="C7" i="12"/>
  <c r="H5" i="12"/>
  <c r="C10" i="12"/>
  <c r="G5" i="12"/>
  <c r="J33" i="12"/>
  <c r="D7" i="12"/>
  <c r="C23" i="12"/>
  <c r="C5" i="12"/>
  <c r="F11" i="13"/>
  <c r="B9" i="13"/>
  <c r="B21" i="13" s="1"/>
  <c r="C11" i="13"/>
  <c r="D3" i="13"/>
  <c r="D11" i="13"/>
  <c r="E10" i="13"/>
  <c r="F9" i="13"/>
  <c r="G8" i="13"/>
  <c r="H7" i="13"/>
  <c r="I6" i="13"/>
  <c r="C22" i="13"/>
  <c r="D16" i="13"/>
  <c r="C10" i="13"/>
  <c r="D4" i="13"/>
  <c r="E3" i="13"/>
  <c r="E11" i="13"/>
  <c r="F10" i="13"/>
  <c r="G9" i="13"/>
  <c r="H8" i="13"/>
  <c r="I7" i="13"/>
  <c r="C21" i="13"/>
  <c r="D17" i="13"/>
  <c r="B6" i="13"/>
  <c r="B18" i="13" s="1"/>
  <c r="C8" i="13"/>
  <c r="D6" i="13"/>
  <c r="E5" i="13"/>
  <c r="F4" i="13"/>
  <c r="G3" i="13"/>
  <c r="G11" i="13"/>
  <c r="H10" i="13"/>
  <c r="I9" i="13"/>
  <c r="C19" i="13"/>
  <c r="D18" i="13"/>
  <c r="C7" i="13"/>
  <c r="D7" i="13"/>
  <c r="E6" i="13"/>
  <c r="F5" i="13"/>
  <c r="G4" i="13"/>
  <c r="H3" i="13"/>
  <c r="H11" i="13"/>
  <c r="I10" i="13"/>
  <c r="M34" i="13" s="1"/>
  <c r="B7" i="13"/>
  <c r="B19" i="13" s="1"/>
  <c r="C6" i="13"/>
  <c r="D8" i="13"/>
  <c r="E7" i="13"/>
  <c r="F6" i="13"/>
  <c r="G5" i="13"/>
  <c r="H4" i="13"/>
  <c r="I3" i="13"/>
  <c r="I11" i="13"/>
  <c r="C5" i="13"/>
  <c r="D9" i="13"/>
  <c r="E8" i="13"/>
  <c r="F7" i="13"/>
  <c r="G6" i="13"/>
  <c r="H5" i="13"/>
  <c r="I4" i="13"/>
  <c r="M28" i="13" s="1"/>
  <c r="C15" i="13"/>
  <c r="B3" i="13"/>
  <c r="B15" i="13" s="1"/>
  <c r="C3" i="13"/>
  <c r="C4" i="13"/>
  <c r="D10" i="13"/>
  <c r="L34" i="13" s="1"/>
  <c r="E9" i="13"/>
  <c r="F8" i="13"/>
  <c r="K32" i="13" s="1"/>
  <c r="G7" i="13"/>
  <c r="H6" i="13"/>
  <c r="H12" i="13" s="1"/>
  <c r="I5" i="13"/>
  <c r="K33" i="13"/>
  <c r="I9" i="12"/>
  <c r="I7" i="12"/>
  <c r="I6" i="12"/>
  <c r="I10" i="12"/>
  <c r="I3" i="12"/>
  <c r="H8" i="12"/>
  <c r="H8" i="14" s="1"/>
  <c r="A1" i="12"/>
  <c r="C15" i="12"/>
  <c r="F11" i="12"/>
  <c r="D15" i="12"/>
  <c r="E4" i="12"/>
  <c r="G9" i="12"/>
  <c r="D23" i="12"/>
  <c r="M35" i="12" s="1"/>
  <c r="H9" i="12"/>
  <c r="H9" i="14" s="1"/>
  <c r="B6" i="12"/>
  <c r="C9" i="12"/>
  <c r="E3" i="12"/>
  <c r="E8" i="12"/>
  <c r="E11" i="12"/>
  <c r="F3" i="12"/>
  <c r="C3" i="12"/>
  <c r="C4" i="12"/>
  <c r="D10" i="12"/>
  <c r="E9" i="12"/>
  <c r="F8" i="12"/>
  <c r="G7" i="12"/>
  <c r="H6" i="12"/>
  <c r="F10" i="12"/>
  <c r="C11" i="12"/>
  <c r="K35" i="12" s="1"/>
  <c r="D3" i="12"/>
  <c r="D11" i="12"/>
  <c r="E10" i="12"/>
  <c r="K10" i="12" s="1"/>
  <c r="F9" i="12"/>
  <c r="H7" i="12"/>
  <c r="D22" i="12"/>
  <c r="D4" i="12"/>
  <c r="C22" i="12"/>
  <c r="B5" i="12"/>
  <c r="C8" i="12"/>
  <c r="D6" i="12"/>
  <c r="E5" i="12"/>
  <c r="F4" i="12"/>
  <c r="G3" i="12"/>
  <c r="G11" i="12"/>
  <c r="H10" i="12"/>
  <c r="H10" i="14" s="1"/>
  <c r="G10" i="12"/>
  <c r="D7" i="14"/>
  <c r="E6" i="12"/>
  <c r="K6" i="12" s="1"/>
  <c r="F5" i="12"/>
  <c r="G4" i="12"/>
  <c r="H3" i="12"/>
  <c r="H3" i="14" s="1"/>
  <c r="H11" i="12"/>
  <c r="H11" i="14" s="1"/>
  <c r="D18" i="12"/>
  <c r="C6" i="12"/>
  <c r="D8" i="14"/>
  <c r="E7" i="12"/>
  <c r="F6" i="12"/>
  <c r="H4" i="12"/>
  <c r="H4" i="14" s="1"/>
  <c r="C19" i="12"/>
  <c r="C19" i="14" s="1"/>
  <c r="D19" i="12"/>
  <c r="B10" i="12"/>
  <c r="A17" i="12"/>
  <c r="D9" i="12"/>
  <c r="F7" i="12"/>
  <c r="G6" i="12"/>
  <c r="C18" i="12"/>
  <c r="C18" i="14" s="1"/>
  <c r="B7" i="14"/>
  <c r="A17" i="14"/>
  <c r="B10" i="14"/>
  <c r="B4" i="14"/>
  <c r="B8" i="14"/>
  <c r="B9" i="14"/>
  <c r="B4" i="13"/>
  <c r="B16" i="13" s="1"/>
  <c r="B8" i="13"/>
  <c r="B20" i="13" s="1"/>
  <c r="A23" i="13"/>
  <c r="B5" i="13"/>
  <c r="B17" i="13" s="1"/>
  <c r="B10" i="13"/>
  <c r="B22" i="13" s="1"/>
  <c r="B11" i="12"/>
  <c r="A21" i="12"/>
  <c r="B3" i="12"/>
  <c r="B7" i="12"/>
  <c r="A16" i="12"/>
  <c r="A20" i="12"/>
  <c r="B4" i="12"/>
  <c r="B8" i="12"/>
  <c r="M30" i="13" l="1"/>
  <c r="H5" i="14"/>
  <c r="M33" i="13"/>
  <c r="M32" i="13"/>
  <c r="H7" i="14"/>
  <c r="K4" i="13"/>
  <c r="K7" i="12"/>
  <c r="M29" i="13"/>
  <c r="D19" i="14"/>
  <c r="M31" i="12"/>
  <c r="D22" i="14"/>
  <c r="M34" i="12"/>
  <c r="M27" i="13"/>
  <c r="D15" i="14"/>
  <c r="M27" i="12"/>
  <c r="K31" i="12"/>
  <c r="L3" i="13"/>
  <c r="B19" i="3"/>
  <c r="L32" i="13"/>
  <c r="M31" i="13"/>
  <c r="D18" i="14"/>
  <c r="M30" i="12"/>
  <c r="L29" i="13"/>
  <c r="C15" i="14"/>
  <c r="M4" i="13"/>
  <c r="K34" i="13"/>
  <c r="B22" i="14"/>
  <c r="J34" i="14"/>
  <c r="B20" i="14"/>
  <c r="J32" i="14"/>
  <c r="B19" i="14"/>
  <c r="J31" i="14"/>
  <c r="B21" i="14"/>
  <c r="J33" i="14"/>
  <c r="B16" i="14"/>
  <c r="J28" i="14"/>
  <c r="B19" i="12"/>
  <c r="J31" i="12"/>
  <c r="M5" i="12"/>
  <c r="K5" i="12"/>
  <c r="L31" i="12"/>
  <c r="E8" i="14"/>
  <c r="K8" i="12"/>
  <c r="B15" i="12"/>
  <c r="J27" i="12"/>
  <c r="M3" i="12"/>
  <c r="K3" i="12"/>
  <c r="K9" i="12"/>
  <c r="B20" i="12"/>
  <c r="J32" i="12"/>
  <c r="B17" i="12"/>
  <c r="J29" i="12"/>
  <c r="B18" i="12"/>
  <c r="J30" i="12"/>
  <c r="B23" i="12"/>
  <c r="J35" i="12"/>
  <c r="L3" i="12"/>
  <c r="B16" i="12"/>
  <c r="J28" i="12"/>
  <c r="B22" i="12"/>
  <c r="J34" i="12"/>
  <c r="K34" i="12"/>
  <c r="E11" i="14"/>
  <c r="K11" i="12"/>
  <c r="E4" i="14"/>
  <c r="K4" i="12"/>
  <c r="L11" i="13"/>
  <c r="C22" i="14"/>
  <c r="D23" i="13"/>
  <c r="D24" i="13" s="1"/>
  <c r="C23" i="13"/>
  <c r="C23" i="14" s="1"/>
  <c r="K28" i="13"/>
  <c r="H6" i="14"/>
  <c r="H12" i="14" s="1"/>
  <c r="K27" i="13"/>
  <c r="K29" i="13"/>
  <c r="L5" i="13"/>
  <c r="M6" i="13"/>
  <c r="K6" i="13"/>
  <c r="L27" i="13"/>
  <c r="K30" i="13"/>
  <c r="L6" i="13"/>
  <c r="L31" i="13"/>
  <c r="L30" i="13"/>
  <c r="M9" i="13"/>
  <c r="K9" i="13"/>
  <c r="L8" i="13"/>
  <c r="M11" i="13"/>
  <c r="K11" i="13"/>
  <c r="K31" i="13"/>
  <c r="L7" i="13"/>
  <c r="M3" i="13"/>
  <c r="K3" i="13"/>
  <c r="L4" i="13"/>
  <c r="M8" i="13"/>
  <c r="K8" i="13"/>
  <c r="L28" i="13"/>
  <c r="M5" i="13"/>
  <c r="K5" i="13"/>
  <c r="L33" i="13"/>
  <c r="K7" i="13"/>
  <c r="M7" i="13"/>
  <c r="L10" i="13"/>
  <c r="K10" i="13"/>
  <c r="M10" i="13"/>
  <c r="L9" i="13"/>
  <c r="D4" i="14"/>
  <c r="K27" i="12"/>
  <c r="L5" i="12"/>
  <c r="D6" i="14"/>
  <c r="L30" i="12"/>
  <c r="E3" i="14"/>
  <c r="D11" i="14"/>
  <c r="L35" i="12"/>
  <c r="C9" i="14"/>
  <c r="L8" i="12"/>
  <c r="D9" i="14"/>
  <c r="K30" i="12"/>
  <c r="D3" i="14"/>
  <c r="L27" i="12"/>
  <c r="D10" i="14"/>
  <c r="L34" i="12"/>
  <c r="C12" i="12"/>
  <c r="F10" i="14"/>
  <c r="G9" i="14"/>
  <c r="F6" i="14"/>
  <c r="G8" i="14"/>
  <c r="F7" i="14"/>
  <c r="F9" i="14"/>
  <c r="G7" i="14"/>
  <c r="L31" i="14" s="1"/>
  <c r="F3" i="14"/>
  <c r="G6" i="14"/>
  <c r="G10" i="14"/>
  <c r="F8" i="14"/>
  <c r="G11" i="14"/>
  <c r="F11" i="14"/>
  <c r="G5" i="14"/>
  <c r="G4" i="14"/>
  <c r="G3" i="14"/>
  <c r="F5" i="14"/>
  <c r="F4" i="14"/>
  <c r="C3" i="14"/>
  <c r="L6" i="12"/>
  <c r="C6" i="14"/>
  <c r="L7" i="12"/>
  <c r="C7" i="14"/>
  <c r="E5" i="14"/>
  <c r="M11" i="12"/>
  <c r="C8" i="14"/>
  <c r="D20" i="12"/>
  <c r="C20" i="12"/>
  <c r="C20" i="14" s="1"/>
  <c r="D16" i="12"/>
  <c r="C16" i="12"/>
  <c r="C16" i="14" s="1"/>
  <c r="M10" i="12"/>
  <c r="E10" i="14"/>
  <c r="E9" i="14"/>
  <c r="C5" i="14"/>
  <c r="C21" i="12"/>
  <c r="C21" i="14" s="1"/>
  <c r="D21" i="12"/>
  <c r="D17" i="12"/>
  <c r="C17" i="12"/>
  <c r="C17" i="14" s="1"/>
  <c r="M7" i="12"/>
  <c r="E7" i="14"/>
  <c r="M6" i="12"/>
  <c r="E6" i="14"/>
  <c r="C10" i="14"/>
  <c r="L10" i="12"/>
  <c r="C11" i="14"/>
  <c r="L11" i="12"/>
  <c r="C4" i="14"/>
  <c r="C12" i="13"/>
  <c r="E12" i="13"/>
  <c r="G12" i="13"/>
  <c r="D12" i="13"/>
  <c r="E12" i="12"/>
  <c r="K12" i="12" s="1"/>
  <c r="H12" i="12"/>
  <c r="G12" i="12"/>
  <c r="D12" i="12"/>
  <c r="M29" i="12" l="1"/>
  <c r="D20" i="14"/>
  <c r="M32" i="12"/>
  <c r="D16" i="14"/>
  <c r="M28" i="12"/>
  <c r="K8" i="14"/>
  <c r="D21" i="14"/>
  <c r="L33" i="14" s="1"/>
  <c r="M33" i="12"/>
  <c r="M35" i="13"/>
  <c r="L35" i="13"/>
  <c r="D23" i="14"/>
  <c r="L35" i="14" s="1"/>
  <c r="K4" i="14"/>
  <c r="K12" i="13"/>
  <c r="C24" i="13"/>
  <c r="K35" i="13"/>
  <c r="B21" i="3" s="1"/>
  <c r="K35" i="14"/>
  <c r="K7" i="14"/>
  <c r="K10" i="14"/>
  <c r="K5" i="14"/>
  <c r="K3" i="14"/>
  <c r="K34" i="14"/>
  <c r="K27" i="14"/>
  <c r="L27" i="14"/>
  <c r="K6" i="14"/>
  <c r="K9" i="14"/>
  <c r="K11" i="14"/>
  <c r="L30" i="14"/>
  <c r="L34" i="14"/>
  <c r="K33" i="12"/>
  <c r="K29" i="14"/>
  <c r="K32" i="14"/>
  <c r="D12" i="14"/>
  <c r="L32" i="14"/>
  <c r="K33" i="14"/>
  <c r="K28" i="12"/>
  <c r="D17" i="14"/>
  <c r="L29" i="14" s="1"/>
  <c r="L29" i="12"/>
  <c r="L32" i="12"/>
  <c r="K28" i="14"/>
  <c r="K31" i="14"/>
  <c r="K32" i="12"/>
  <c r="L33" i="12"/>
  <c r="L28" i="12"/>
  <c r="K30" i="14"/>
  <c r="L28" i="14"/>
  <c r="K29" i="12"/>
  <c r="I11" i="14"/>
  <c r="I3" i="14"/>
  <c r="L4" i="12"/>
  <c r="F12" i="14"/>
  <c r="G12" i="14"/>
  <c r="I10" i="14"/>
  <c r="I4" i="14"/>
  <c r="M8" i="12"/>
  <c r="M4" i="12"/>
  <c r="I8" i="14"/>
  <c r="I7" i="14"/>
  <c r="I9" i="14"/>
  <c r="C24" i="12"/>
  <c r="I5" i="14"/>
  <c r="E12" i="14"/>
  <c r="C12" i="14"/>
  <c r="D24" i="12"/>
  <c r="I6" i="14"/>
  <c r="C24" i="14"/>
  <c r="F12" i="13"/>
  <c r="I12" i="13"/>
  <c r="F12" i="12"/>
  <c r="B22" i="3" l="1"/>
  <c r="M9" i="14"/>
  <c r="M33" i="14"/>
  <c r="L6" i="14"/>
  <c r="M30" i="14"/>
  <c r="M8" i="14"/>
  <c r="M32" i="14"/>
  <c r="M3" i="14"/>
  <c r="M27" i="14"/>
  <c r="M7" i="14"/>
  <c r="M31" i="14"/>
  <c r="M11" i="14"/>
  <c r="M35" i="14"/>
  <c r="M4" i="14"/>
  <c r="M28" i="14"/>
  <c r="L3" i="14"/>
  <c r="L5" i="14"/>
  <c r="M29" i="14"/>
  <c r="L10" i="14"/>
  <c r="M34" i="14"/>
  <c r="M12" i="13"/>
  <c r="M6" i="14"/>
  <c r="M5" i="14"/>
  <c r="M10" i="14"/>
  <c r="L12" i="13"/>
  <c r="L11" i="14"/>
  <c r="L4" i="14"/>
  <c r="L9" i="14"/>
  <c r="L7" i="14"/>
  <c r="L8" i="14"/>
  <c r="K12" i="14"/>
  <c r="D24" i="14"/>
  <c r="I12" i="14"/>
  <c r="L9" i="12"/>
  <c r="M9" i="12"/>
  <c r="I12" i="12"/>
  <c r="L12" i="14" l="1"/>
  <c r="B23" i="3"/>
  <c r="B20" i="3"/>
  <c r="M12" i="14"/>
  <c r="L12" i="12"/>
  <c r="M12" i="12"/>
  <c r="J27" i="2" l="1"/>
  <c r="B25" i="3" s="1"/>
  <c r="K18" i="2"/>
  <c r="K26" i="2"/>
  <c r="K25" i="2"/>
  <c r="K24" i="2"/>
  <c r="K23" i="2"/>
  <c r="K22" i="2"/>
  <c r="K21" i="2"/>
  <c r="K20" i="2"/>
  <c r="K19" i="2"/>
  <c r="D3" i="2" l="1"/>
  <c r="D2" i="2"/>
  <c r="K2" i="6" l="1"/>
  <c r="K2" i="5"/>
  <c r="A1" i="5" s="1"/>
  <c r="G26" i="8"/>
  <c r="F26" i="8"/>
  <c r="E26" i="8"/>
  <c r="D26" i="8"/>
  <c r="C26" i="8"/>
  <c r="G14" i="8"/>
  <c r="F14" i="8"/>
  <c r="E14" i="8"/>
  <c r="D14" i="8"/>
  <c r="C14" i="8"/>
  <c r="B14" i="8"/>
  <c r="B26" i="8" s="1"/>
  <c r="A14" i="8"/>
  <c r="A26" i="8" s="1"/>
  <c r="A11" i="8"/>
  <c r="A23" i="8" s="1"/>
  <c r="A35" i="8" s="1"/>
  <c r="A10" i="8"/>
  <c r="B10" i="8" s="1"/>
  <c r="B22" i="8" s="1"/>
  <c r="B34" i="8" s="1"/>
  <c r="A9" i="8"/>
  <c r="A21" i="8" s="1"/>
  <c r="A33" i="8" s="1"/>
  <c r="A8" i="8"/>
  <c r="A20" i="8" s="1"/>
  <c r="A32" i="8" s="1"/>
  <c r="A7" i="8"/>
  <c r="B7" i="8" s="1"/>
  <c r="B19" i="8" s="1"/>
  <c r="B31" i="8" s="1"/>
  <c r="A6" i="8"/>
  <c r="A18" i="8" s="1"/>
  <c r="A30" i="8" s="1"/>
  <c r="A5" i="8"/>
  <c r="A17" i="8" s="1"/>
  <c r="A29" i="8" s="1"/>
  <c r="A4" i="8"/>
  <c r="A16" i="8" s="1"/>
  <c r="A28" i="8" s="1"/>
  <c r="A3" i="8"/>
  <c r="B3" i="8" s="1"/>
  <c r="B15" i="8" s="1"/>
  <c r="B27" i="8" s="1"/>
  <c r="I2" i="8"/>
  <c r="H2" i="8"/>
  <c r="G2" i="8"/>
  <c r="F2" i="8"/>
  <c r="E2" i="8"/>
  <c r="D2" i="8"/>
  <c r="C2" i="8"/>
  <c r="K2" i="8"/>
  <c r="A1" i="8" s="1"/>
  <c r="K2" i="7"/>
  <c r="A1" i="7" s="1"/>
  <c r="G26" i="7"/>
  <c r="F26" i="7"/>
  <c r="E26" i="7"/>
  <c r="D26" i="7"/>
  <c r="C26" i="7"/>
  <c r="B26" i="7"/>
  <c r="A26" i="7"/>
  <c r="G14" i="7"/>
  <c r="F14" i="7"/>
  <c r="E14" i="7"/>
  <c r="D14" i="7"/>
  <c r="C14" i="7"/>
  <c r="B14" i="7"/>
  <c r="A14" i="7"/>
  <c r="A11" i="7"/>
  <c r="A23" i="7" s="1"/>
  <c r="A10" i="7"/>
  <c r="A22" i="7" s="1"/>
  <c r="A34" i="7" s="1"/>
  <c r="E34" i="7" s="1"/>
  <c r="A9" i="7"/>
  <c r="A21" i="7" s="1"/>
  <c r="A33" i="7" s="1"/>
  <c r="E33" i="7" s="1"/>
  <c r="A8" i="7"/>
  <c r="A20" i="7" s="1"/>
  <c r="A32" i="7" s="1"/>
  <c r="E32" i="7" s="1"/>
  <c r="A7" i="7"/>
  <c r="B7" i="7" s="1"/>
  <c r="B19" i="7" s="1"/>
  <c r="B31" i="7" s="1"/>
  <c r="A6" i="7"/>
  <c r="B6" i="7" s="1"/>
  <c r="B18" i="7" s="1"/>
  <c r="B30" i="7" s="1"/>
  <c r="A5" i="7"/>
  <c r="A17" i="7" s="1"/>
  <c r="A29" i="7" s="1"/>
  <c r="E29" i="7" s="1"/>
  <c r="A4" i="7"/>
  <c r="A16" i="7" s="1"/>
  <c r="A3" i="7"/>
  <c r="A15" i="7" s="1"/>
  <c r="I2" i="7"/>
  <c r="H2" i="7"/>
  <c r="G2" i="7"/>
  <c r="F2" i="7"/>
  <c r="E2" i="7"/>
  <c r="D2" i="7"/>
  <c r="C2" i="7"/>
  <c r="A19" i="7" l="1"/>
  <c r="A31" i="7" s="1"/>
  <c r="E31" i="7" s="1"/>
  <c r="A22" i="8"/>
  <c r="A34" i="8" s="1"/>
  <c r="B10" i="7"/>
  <c r="B22" i="7" s="1"/>
  <c r="B34" i="7" s="1"/>
  <c r="B4" i="7"/>
  <c r="B16" i="7" s="1"/>
  <c r="B28" i="7" s="1"/>
  <c r="B11" i="7"/>
  <c r="B23" i="7" s="1"/>
  <c r="B35" i="7" s="1"/>
  <c r="B4" i="8"/>
  <c r="B16" i="8" s="1"/>
  <c r="B28" i="8" s="1"/>
  <c r="B5" i="7"/>
  <c r="B17" i="7" s="1"/>
  <c r="B29" i="7" s="1"/>
  <c r="B8" i="8"/>
  <c r="B20" i="8" s="1"/>
  <c r="B32" i="8" s="1"/>
  <c r="B9" i="8"/>
  <c r="B21" i="8" s="1"/>
  <c r="B33" i="8" s="1"/>
  <c r="B9" i="7"/>
  <c r="B21" i="7" s="1"/>
  <c r="B33" i="7" s="1"/>
  <c r="A18" i="7"/>
  <c r="A30" i="7" s="1"/>
  <c r="E30" i="7" s="1"/>
  <c r="B8" i="7"/>
  <c r="B20" i="7" s="1"/>
  <c r="B32" i="7" s="1"/>
  <c r="A15" i="8"/>
  <c r="A27" i="8" s="1"/>
  <c r="B11" i="8"/>
  <c r="B23" i="8" s="1"/>
  <c r="B35" i="8" s="1"/>
  <c r="B6" i="8"/>
  <c r="B18" i="8" s="1"/>
  <c r="B30" i="8" s="1"/>
  <c r="A19" i="8"/>
  <c r="A31" i="8" s="1"/>
  <c r="B5" i="8"/>
  <c r="B17" i="8" s="1"/>
  <c r="B29" i="8" s="1"/>
  <c r="A28" i="7"/>
  <c r="E28" i="7" s="1"/>
  <c r="A27" i="7"/>
  <c r="E27" i="7" s="1"/>
  <c r="A35" i="7"/>
  <c r="E35" i="7" s="1"/>
  <c r="B3" i="7"/>
  <c r="B15" i="7" s="1"/>
  <c r="B27" i="7" s="1"/>
  <c r="E36" i="7" l="1"/>
  <c r="G26" i="6"/>
  <c r="F26" i="6"/>
  <c r="E26" i="6"/>
  <c r="D26" i="6"/>
  <c r="C26" i="6"/>
  <c r="F14" i="6"/>
  <c r="E14" i="6"/>
  <c r="D14" i="6"/>
  <c r="C14" i="6"/>
  <c r="B14" i="6"/>
  <c r="B26" i="6" s="1"/>
  <c r="A14" i="6"/>
  <c r="A26" i="6" s="1"/>
  <c r="A11" i="6"/>
  <c r="A10" i="6"/>
  <c r="A9" i="6"/>
  <c r="A8" i="6"/>
  <c r="A20" i="6" s="1"/>
  <c r="F20" i="6" s="1"/>
  <c r="K22" i="10" s="1"/>
  <c r="A7" i="6"/>
  <c r="A6" i="6"/>
  <c r="A5" i="6"/>
  <c r="A4" i="6"/>
  <c r="A16" i="6" s="1"/>
  <c r="A3" i="6"/>
  <c r="I2" i="6"/>
  <c r="H2" i="6"/>
  <c r="G2" i="6"/>
  <c r="F2" i="6"/>
  <c r="E2" i="6"/>
  <c r="E6" i="6" s="1"/>
  <c r="M20" i="10" s="1"/>
  <c r="D2" i="6"/>
  <c r="C2" i="6"/>
  <c r="A1" i="6"/>
  <c r="D8" i="6" l="1"/>
  <c r="A23" i="6"/>
  <c r="G11" i="6"/>
  <c r="D11" i="6"/>
  <c r="B3" i="6"/>
  <c r="B15" i="6" s="1"/>
  <c r="B27" i="6" s="1"/>
  <c r="G3" i="6"/>
  <c r="D3" i="6"/>
  <c r="A15" i="6"/>
  <c r="A27" i="6" s="1"/>
  <c r="C27" i="6" s="1"/>
  <c r="N4" i="10" s="1"/>
  <c r="A17" i="6"/>
  <c r="D17" i="6" s="1"/>
  <c r="G5" i="6"/>
  <c r="D5" i="6"/>
  <c r="A22" i="6"/>
  <c r="A34" i="6" s="1"/>
  <c r="G10" i="6"/>
  <c r="D10" i="6"/>
  <c r="B10" i="6"/>
  <c r="B22" i="6" s="1"/>
  <c r="B34" i="6" s="1"/>
  <c r="B4" i="6"/>
  <c r="B16" i="6" s="1"/>
  <c r="B28" i="6" s="1"/>
  <c r="C34" i="6"/>
  <c r="N11" i="10" s="1"/>
  <c r="A18" i="6"/>
  <c r="D6" i="6"/>
  <c r="G6" i="6"/>
  <c r="B7" i="6"/>
  <c r="B19" i="6" s="1"/>
  <c r="B31" i="6" s="1"/>
  <c r="D7" i="6"/>
  <c r="G7" i="6"/>
  <c r="D20" i="6"/>
  <c r="H10" i="6"/>
  <c r="L11" i="10" s="1"/>
  <c r="D9" i="6"/>
  <c r="G9" i="6"/>
  <c r="E7" i="6"/>
  <c r="H3" i="6"/>
  <c r="L4" i="10" s="1"/>
  <c r="H4" i="6"/>
  <c r="L5" i="10" s="1"/>
  <c r="C18" i="6"/>
  <c r="H11" i="6"/>
  <c r="L12" i="10" s="1"/>
  <c r="C17" i="6"/>
  <c r="D22" i="6"/>
  <c r="C3" i="6"/>
  <c r="C5" i="6"/>
  <c r="K6" i="10" s="1"/>
  <c r="C4" i="6"/>
  <c r="C16" i="6"/>
  <c r="F16" i="6"/>
  <c r="K18" i="10" s="1"/>
  <c r="C10" i="6"/>
  <c r="K11" i="10" s="1"/>
  <c r="E9" i="6"/>
  <c r="M23" i="10" s="1"/>
  <c r="H5" i="6"/>
  <c r="L6" i="10" s="1"/>
  <c r="C23" i="6"/>
  <c r="D23" i="6"/>
  <c r="F22" i="6"/>
  <c r="K24" i="10" s="1"/>
  <c r="C9" i="6"/>
  <c r="K10" i="10" s="1"/>
  <c r="E10" i="6"/>
  <c r="F10" i="6" s="1"/>
  <c r="H6" i="6"/>
  <c r="L7" i="10" s="1"/>
  <c r="C22" i="6"/>
  <c r="D16" i="6"/>
  <c r="F23" i="6"/>
  <c r="K25" i="10" s="1"/>
  <c r="C8" i="6"/>
  <c r="K9" i="10" s="1"/>
  <c r="E11" i="6"/>
  <c r="F11" i="6" s="1"/>
  <c r="H7" i="6"/>
  <c r="L8" i="10" s="1"/>
  <c r="C11" i="6"/>
  <c r="K12" i="10" s="1"/>
  <c r="E8" i="6"/>
  <c r="M22" i="10" s="1"/>
  <c r="E3" i="6"/>
  <c r="M17" i="10" s="1"/>
  <c r="B8" i="6"/>
  <c r="B20" i="6" s="1"/>
  <c r="B32" i="6" s="1"/>
  <c r="C7" i="6"/>
  <c r="K8" i="10" s="1"/>
  <c r="E4" i="6"/>
  <c r="M18" i="10" s="1"/>
  <c r="G4" i="6"/>
  <c r="H8" i="6"/>
  <c r="L9" i="10" s="1"/>
  <c r="C20" i="6"/>
  <c r="D18" i="6"/>
  <c r="E18" i="6" s="1"/>
  <c r="P7" i="10" s="1"/>
  <c r="F17" i="6"/>
  <c r="K19" i="10" s="1"/>
  <c r="D34" i="6"/>
  <c r="O11" i="10" s="1"/>
  <c r="F34" i="6"/>
  <c r="O24" i="10" s="1"/>
  <c r="C6" i="6"/>
  <c r="K7" i="10" s="1"/>
  <c r="E5" i="6"/>
  <c r="M19" i="10" s="1"/>
  <c r="H9" i="6"/>
  <c r="L10" i="10" s="1"/>
  <c r="F18" i="6"/>
  <c r="K20" i="10" s="1"/>
  <c r="E34" i="6"/>
  <c r="N24" i="10" s="1"/>
  <c r="D4" i="6"/>
  <c r="F4" i="6" s="1"/>
  <c r="G34" i="6"/>
  <c r="P24" i="10" s="1"/>
  <c r="G8" i="6"/>
  <c r="F7" i="6"/>
  <c r="M21" i="10"/>
  <c r="K5" i="10"/>
  <c r="K4" i="10"/>
  <c r="F6" i="6"/>
  <c r="A29" i="6"/>
  <c r="F29" i="6" s="1"/>
  <c r="A30" i="6"/>
  <c r="D30" i="6" s="1"/>
  <c r="O7" i="10" s="1"/>
  <c r="A32" i="6"/>
  <c r="A35" i="6"/>
  <c r="G35" i="6" s="1"/>
  <c r="B5" i="6"/>
  <c r="B17" i="6" s="1"/>
  <c r="B29" i="6" s="1"/>
  <c r="B11" i="6"/>
  <c r="B23" i="6" s="1"/>
  <c r="B35" i="6" s="1"/>
  <c r="A21" i="6"/>
  <c r="C21" i="6" s="1"/>
  <c r="A28" i="6"/>
  <c r="E28" i="6" s="1"/>
  <c r="N18" i="10" s="1"/>
  <c r="B9" i="6"/>
  <c r="B21" i="6" s="1"/>
  <c r="B33" i="6" s="1"/>
  <c r="B6" i="6"/>
  <c r="B18" i="6" s="1"/>
  <c r="B30" i="6" s="1"/>
  <c r="A19" i="6"/>
  <c r="D19" i="6" s="1"/>
  <c r="E27" i="6" l="1"/>
  <c r="N17" i="10" s="1"/>
  <c r="G27" i="6"/>
  <c r="P17" i="10" s="1"/>
  <c r="E16" i="6"/>
  <c r="P5" i="10" s="1"/>
  <c r="E20" i="6"/>
  <c r="P9" i="10" s="1"/>
  <c r="C15" i="6"/>
  <c r="F27" i="6"/>
  <c r="O17" i="10" s="1"/>
  <c r="D27" i="6"/>
  <c r="O4" i="10" s="1"/>
  <c r="F15" i="6"/>
  <c r="K17" i="10" s="1"/>
  <c r="D15" i="6"/>
  <c r="M24" i="10"/>
  <c r="M25" i="10"/>
  <c r="H12" i="6"/>
  <c r="L13" i="10" s="1"/>
  <c r="F5" i="6"/>
  <c r="C29" i="6"/>
  <c r="N6" i="10" s="1"/>
  <c r="G29" i="6"/>
  <c r="P19" i="10" s="1"/>
  <c r="G30" i="6"/>
  <c r="P20" i="10" s="1"/>
  <c r="C19" i="6"/>
  <c r="F3" i="6"/>
  <c r="I3" i="6" s="1"/>
  <c r="F8" i="6"/>
  <c r="O19" i="10"/>
  <c r="K29" i="6"/>
  <c r="P25" i="10"/>
  <c r="C28" i="6"/>
  <c r="N5" i="10" s="1"/>
  <c r="D35" i="6"/>
  <c r="O12" i="10" s="1"/>
  <c r="C32" i="6"/>
  <c r="N9" i="10" s="1"/>
  <c r="E32" i="6"/>
  <c r="N22" i="10" s="1"/>
  <c r="F9" i="6"/>
  <c r="G28" i="6"/>
  <c r="F19" i="6"/>
  <c r="K21" i="10" s="1"/>
  <c r="C35" i="6"/>
  <c r="N12" i="10" s="1"/>
  <c r="F32" i="6"/>
  <c r="O22" i="10" s="1"/>
  <c r="E35" i="6"/>
  <c r="N25" i="10" s="1"/>
  <c r="F28" i="6"/>
  <c r="O18" i="10" s="1"/>
  <c r="D32" i="6"/>
  <c r="O9" i="10" s="1"/>
  <c r="G32" i="6"/>
  <c r="C30" i="6"/>
  <c r="N7" i="10" s="1"/>
  <c r="L34" i="6"/>
  <c r="D21" i="6"/>
  <c r="E21" i="6" s="1"/>
  <c r="P10" i="10" s="1"/>
  <c r="F21" i="6"/>
  <c r="K23" i="10" s="1"/>
  <c r="D29" i="6"/>
  <c r="O6" i="10" s="1"/>
  <c r="E29" i="6"/>
  <c r="F35" i="6"/>
  <c r="O25" i="10" s="1"/>
  <c r="K34" i="6"/>
  <c r="F30" i="6"/>
  <c r="O20" i="10" s="1"/>
  <c r="E30" i="6"/>
  <c r="N20" i="10" s="1"/>
  <c r="D28" i="6"/>
  <c r="O5" i="10" s="1"/>
  <c r="I6" i="6"/>
  <c r="I7" i="6"/>
  <c r="I8" i="6"/>
  <c r="I4" i="6"/>
  <c r="G12" i="6"/>
  <c r="A31" i="6"/>
  <c r="E22" i="6"/>
  <c r="P11" i="10" s="1"/>
  <c r="D12" i="6"/>
  <c r="I11" i="6"/>
  <c r="E17" i="6"/>
  <c r="P6" i="10" s="1"/>
  <c r="I5" i="6"/>
  <c r="E23" i="6"/>
  <c r="P12" i="10" s="1"/>
  <c r="C12" i="6"/>
  <c r="K13" i="10" s="1"/>
  <c r="E12" i="6"/>
  <c r="M26" i="10" s="1"/>
  <c r="A33" i="6"/>
  <c r="L27" i="6" l="1"/>
  <c r="E15" i="6"/>
  <c r="P4" i="10" s="1"/>
  <c r="K27" i="6"/>
  <c r="K30" i="6"/>
  <c r="L35" i="6"/>
  <c r="F12" i="6"/>
  <c r="K5" i="6" s="1"/>
  <c r="L30" i="6"/>
  <c r="N19" i="10"/>
  <c r="P22" i="10"/>
  <c r="L32" i="6"/>
  <c r="L29" i="6"/>
  <c r="K35" i="6"/>
  <c r="F24" i="6"/>
  <c r="K26" i="10" s="1"/>
  <c r="P18" i="10"/>
  <c r="L28" i="6"/>
  <c r="G31" i="6"/>
  <c r="E31" i="6"/>
  <c r="N21" i="10" s="1"/>
  <c r="F31" i="6"/>
  <c r="C31" i="6"/>
  <c r="N8" i="10" s="1"/>
  <c r="D31" i="6"/>
  <c r="O8" i="10" s="1"/>
  <c r="K32" i="6"/>
  <c r="C33" i="6"/>
  <c r="N10" i="10" s="1"/>
  <c r="D33" i="6"/>
  <c r="O10" i="10" s="1"/>
  <c r="E33" i="6"/>
  <c r="N23" i="10" s="1"/>
  <c r="F33" i="6"/>
  <c r="G33" i="6"/>
  <c r="K28" i="6"/>
  <c r="E19" i="6"/>
  <c r="P8" i="10" s="1"/>
  <c r="C24" i="6"/>
  <c r="D24" i="6"/>
  <c r="I9" i="6"/>
  <c r="I10" i="6"/>
  <c r="E24" i="6" l="1"/>
  <c r="P13" i="10" s="1"/>
  <c r="P23" i="10"/>
  <c r="L33" i="6"/>
  <c r="O23" i="10"/>
  <c r="K33" i="6"/>
  <c r="P21" i="10"/>
  <c r="L31" i="6"/>
  <c r="E36" i="6"/>
  <c r="N26" i="10" s="1"/>
  <c r="O21" i="10"/>
  <c r="K31" i="6"/>
  <c r="I12" i="6"/>
  <c r="K6" i="6" s="1"/>
  <c r="F36" i="6"/>
  <c r="K7" i="6"/>
  <c r="C36" i="6"/>
  <c r="N13" i="10" s="1"/>
  <c r="D36" i="6"/>
  <c r="O13" i="10" s="1"/>
  <c r="K4" i="6" l="1"/>
  <c r="O26" i="10"/>
  <c r="G36" i="6"/>
  <c r="K3" i="6" l="1"/>
  <c r="P26" i="10"/>
  <c r="D26" i="5"/>
  <c r="E26" i="5"/>
  <c r="F26" i="5"/>
  <c r="G26" i="5"/>
  <c r="C26" i="5"/>
  <c r="D14" i="5"/>
  <c r="E14" i="5"/>
  <c r="F14" i="5"/>
  <c r="C14" i="5"/>
  <c r="D2" i="5"/>
  <c r="E2" i="5"/>
  <c r="F2" i="5"/>
  <c r="G2" i="5"/>
  <c r="H2" i="5"/>
  <c r="I2" i="5"/>
  <c r="C2" i="5"/>
  <c r="A4" i="5" l="1"/>
  <c r="H4" i="5" s="1"/>
  <c r="A5" i="5"/>
  <c r="G5" i="5" s="1"/>
  <c r="A6" i="5"/>
  <c r="D6" i="5" s="1"/>
  <c r="A7" i="5"/>
  <c r="E7" i="5" s="1"/>
  <c r="A8" i="5"/>
  <c r="G8" i="5" s="1"/>
  <c r="A9" i="5"/>
  <c r="H9" i="5" s="1"/>
  <c r="A10" i="5"/>
  <c r="G10" i="5" s="1"/>
  <c r="A11" i="5"/>
  <c r="E11" i="5" s="1"/>
  <c r="A3" i="5"/>
  <c r="H3" i="5" s="1"/>
  <c r="D11" i="5" l="1"/>
  <c r="D10" i="5"/>
  <c r="D7" i="5"/>
  <c r="D3" i="5"/>
  <c r="D8" i="5"/>
  <c r="D9" i="5"/>
  <c r="C5" i="5"/>
  <c r="D4" i="5"/>
  <c r="B3" i="5"/>
  <c r="B8" i="5"/>
  <c r="E8" i="5"/>
  <c r="B4" i="5"/>
  <c r="E4" i="5"/>
  <c r="C4" i="5"/>
  <c r="H8" i="5"/>
  <c r="C9" i="5"/>
  <c r="H5" i="5"/>
  <c r="B6" i="5"/>
  <c r="C6" i="5"/>
  <c r="E9" i="5"/>
  <c r="G3" i="5"/>
  <c r="H10" i="5"/>
  <c r="G7" i="5"/>
  <c r="G11" i="5"/>
  <c r="B5" i="5"/>
  <c r="C11" i="5"/>
  <c r="E3" i="5"/>
  <c r="G4" i="5"/>
  <c r="H11" i="5"/>
  <c r="B7" i="5"/>
  <c r="C7" i="5"/>
  <c r="E6" i="5"/>
  <c r="H7" i="5"/>
  <c r="B11" i="5"/>
  <c r="C8" i="5"/>
  <c r="E5" i="5"/>
  <c r="H6" i="5"/>
  <c r="B10" i="5"/>
  <c r="C10" i="5"/>
  <c r="D5" i="5"/>
  <c r="E10" i="5"/>
  <c r="G6" i="5"/>
  <c r="G9" i="5"/>
  <c r="B9" i="5"/>
  <c r="C3" i="5"/>
  <c r="B14" i="5"/>
  <c r="B26" i="5" s="1"/>
  <c r="A14" i="5"/>
  <c r="A26" i="5" s="1"/>
  <c r="B15" i="5" l="1"/>
  <c r="B27" i="5" s="1"/>
  <c r="A15" i="5"/>
  <c r="F15" i="5" l="1"/>
  <c r="D15" i="5"/>
  <c r="C15" i="5"/>
  <c r="B16" i="5"/>
  <c r="B28" i="5" s="1"/>
  <c r="A16" i="5"/>
  <c r="A27" i="5"/>
  <c r="C16" i="5" l="1"/>
  <c r="F16" i="5"/>
  <c r="D16" i="5"/>
  <c r="E27" i="5"/>
  <c r="C27" i="5"/>
  <c r="D27" i="5"/>
  <c r="A17" i="5"/>
  <c r="B17" i="5"/>
  <c r="B29" i="5" s="1"/>
  <c r="A28" i="5"/>
  <c r="E28" i="5" l="1"/>
  <c r="D28" i="5"/>
  <c r="C28" i="5"/>
  <c r="D17" i="5"/>
  <c r="F17" i="5"/>
  <c r="C17" i="5"/>
  <c r="A18" i="5"/>
  <c r="B18" i="5"/>
  <c r="B30" i="5" s="1"/>
  <c r="A29" i="5"/>
  <c r="C18" i="5" l="1"/>
  <c r="F18" i="5"/>
  <c r="D18" i="5"/>
  <c r="E29" i="5"/>
  <c r="D29" i="5"/>
  <c r="C29" i="5"/>
  <c r="A30" i="5"/>
  <c r="A19" i="5"/>
  <c r="B19" i="5"/>
  <c r="B31" i="5" s="1"/>
  <c r="D19" i="5" l="1"/>
  <c r="F19" i="5"/>
  <c r="C19" i="5"/>
  <c r="E30" i="5"/>
  <c r="C30" i="5"/>
  <c r="D30" i="5"/>
  <c r="A21" i="5"/>
  <c r="B21" i="5"/>
  <c r="B33" i="5" s="1"/>
  <c r="B20" i="5"/>
  <c r="B32" i="5" s="1"/>
  <c r="A20" i="5"/>
  <c r="A31" i="5"/>
  <c r="D21" i="5" l="1"/>
  <c r="C21" i="5"/>
  <c r="F21" i="5"/>
  <c r="E31" i="5"/>
  <c r="D31" i="5"/>
  <c r="C31" i="5"/>
  <c r="F20" i="5"/>
  <c r="C20" i="5"/>
  <c r="D20" i="5"/>
  <c r="A33" i="5"/>
  <c r="A32" i="5"/>
  <c r="A22" i="5"/>
  <c r="B22" i="5"/>
  <c r="B34" i="5" s="1"/>
  <c r="E33" i="5" l="1"/>
  <c r="C33" i="5"/>
  <c r="D33" i="5"/>
  <c r="D22" i="5"/>
  <c r="F22" i="5"/>
  <c r="C22" i="5"/>
  <c r="E32" i="5"/>
  <c r="D32" i="5"/>
  <c r="C32" i="5"/>
  <c r="B23" i="5"/>
  <c r="B35" i="5" s="1"/>
  <c r="A23" i="5"/>
  <c r="A34" i="5"/>
  <c r="E34" i="5" l="1"/>
  <c r="C34" i="5"/>
  <c r="D34" i="5"/>
  <c r="C23" i="5"/>
  <c r="F23" i="5"/>
  <c r="D23" i="5"/>
  <c r="A35" i="5"/>
  <c r="E35" i="5" l="1"/>
  <c r="D35" i="5"/>
  <c r="C35" i="5"/>
  <c r="J13" i="2"/>
  <c r="B24" i="3" s="1"/>
  <c r="K4" i="2" l="1"/>
  <c r="K12" i="2" l="1"/>
  <c r="K11" i="2"/>
  <c r="K10" i="2"/>
  <c r="K9" i="2"/>
  <c r="K8" i="2"/>
  <c r="K7" i="2"/>
  <c r="K6" i="2"/>
  <c r="K5" i="2"/>
  <c r="E2" i="2"/>
  <c r="E3" i="2"/>
  <c r="C3" i="2"/>
  <c r="A1" i="2"/>
  <c r="B3" i="2"/>
  <c r="A5" i="2"/>
  <c r="A6" i="2"/>
  <c r="A7" i="2"/>
  <c r="A8" i="2"/>
  <c r="A9" i="2"/>
  <c r="A10" i="2"/>
  <c r="A11" i="2"/>
  <c r="A12" i="2"/>
  <c r="A4" i="2"/>
  <c r="D4" i="2" s="1"/>
  <c r="L18" i="2" s="1"/>
  <c r="D7" i="7" l="1"/>
  <c r="D7" i="8" s="1"/>
  <c r="D6" i="7"/>
  <c r="D6" i="8" s="1"/>
  <c r="C3" i="7"/>
  <c r="C3" i="8" s="1"/>
  <c r="C4" i="7"/>
  <c r="C4" i="8" s="1"/>
  <c r="D11" i="7"/>
  <c r="D11" i="8" s="1"/>
  <c r="D9" i="7"/>
  <c r="D9" i="8" s="1"/>
  <c r="E3" i="7"/>
  <c r="E3" i="8" s="1"/>
  <c r="E27" i="8"/>
  <c r="D35" i="7"/>
  <c r="G17" i="7"/>
  <c r="G17" i="8" s="1"/>
  <c r="F18" i="7"/>
  <c r="F18" i="8" s="1"/>
  <c r="G10" i="7"/>
  <c r="F11" i="5"/>
  <c r="F35" i="5" s="1"/>
  <c r="G20" i="7"/>
  <c r="G20" i="8" s="1"/>
  <c r="G5" i="7"/>
  <c r="D34" i="7"/>
  <c r="C28" i="7"/>
  <c r="C28" i="8" s="1"/>
  <c r="F17" i="7"/>
  <c r="F17" i="8" s="1"/>
  <c r="D18" i="7"/>
  <c r="D18" i="8" s="1"/>
  <c r="H8" i="7"/>
  <c r="H8" i="8" s="1"/>
  <c r="G9" i="7"/>
  <c r="D3" i="7"/>
  <c r="H4" i="7"/>
  <c r="H4" i="8" s="1"/>
  <c r="G23" i="7"/>
  <c r="G23" i="8" s="1"/>
  <c r="G15" i="7"/>
  <c r="F16" i="7"/>
  <c r="F16" i="8" s="1"/>
  <c r="H7" i="7"/>
  <c r="H7" i="8" s="1"/>
  <c r="G8" i="7"/>
  <c r="D22" i="7"/>
  <c r="D22" i="8" s="1"/>
  <c r="C30" i="7"/>
  <c r="C30" i="8" s="1"/>
  <c r="F23" i="7"/>
  <c r="F23" i="8" s="1"/>
  <c r="F15" i="7"/>
  <c r="D16" i="7"/>
  <c r="D16" i="8" s="1"/>
  <c r="C22" i="7"/>
  <c r="H6" i="7"/>
  <c r="H6" i="8" s="1"/>
  <c r="G7" i="7"/>
  <c r="E8" i="7"/>
  <c r="E8" i="8" s="1"/>
  <c r="C5" i="7"/>
  <c r="D30" i="7"/>
  <c r="C16" i="7"/>
  <c r="D31" i="7"/>
  <c r="C31" i="7"/>
  <c r="C31" i="8" s="1"/>
  <c r="G21" i="7"/>
  <c r="G21" i="8" s="1"/>
  <c r="F22" i="7"/>
  <c r="F22" i="8" s="1"/>
  <c r="C23" i="7"/>
  <c r="H5" i="7"/>
  <c r="H5" i="8" s="1"/>
  <c r="G6" i="7"/>
  <c r="F7" i="5"/>
  <c r="F31" i="5" s="1"/>
  <c r="C6" i="7"/>
  <c r="C6" i="8" s="1"/>
  <c r="C32" i="7"/>
  <c r="C32" i="8" s="1"/>
  <c r="D29" i="7"/>
  <c r="G19" i="7"/>
  <c r="G19" i="8" s="1"/>
  <c r="F20" i="7"/>
  <c r="F20" i="8" s="1"/>
  <c r="D21" i="7"/>
  <c r="D21" i="8" s="1"/>
  <c r="H11" i="7"/>
  <c r="H11" i="8" s="1"/>
  <c r="H3" i="7"/>
  <c r="G4" i="7"/>
  <c r="E5" i="7"/>
  <c r="E5" i="8" s="1"/>
  <c r="C8" i="7"/>
  <c r="C8" i="8" s="1"/>
  <c r="F21" i="7"/>
  <c r="F21" i="8" s="1"/>
  <c r="C34" i="7"/>
  <c r="C34" i="8" s="1"/>
  <c r="F19" i="7"/>
  <c r="F19" i="8" s="1"/>
  <c r="D20" i="7"/>
  <c r="D20" i="8" s="1"/>
  <c r="C18" i="7"/>
  <c r="H10" i="7"/>
  <c r="H10" i="8" s="1"/>
  <c r="G11" i="7"/>
  <c r="G3" i="7"/>
  <c r="E4" i="7"/>
  <c r="C11" i="7"/>
  <c r="C11" i="8" s="1"/>
  <c r="C15" i="7"/>
  <c r="C7" i="7"/>
  <c r="C7" i="8" s="1"/>
  <c r="C10" i="2"/>
  <c r="C7" i="2"/>
  <c r="C11" i="2"/>
  <c r="C6" i="2"/>
  <c r="C9" i="2"/>
  <c r="C5" i="2"/>
  <c r="C12" i="2"/>
  <c r="C8" i="2"/>
  <c r="E5" i="2"/>
  <c r="B4" i="2"/>
  <c r="E12" i="2"/>
  <c r="E8" i="2"/>
  <c r="E11" i="2"/>
  <c r="E7" i="2"/>
  <c r="F7" i="2" s="1"/>
  <c r="E10" i="2"/>
  <c r="E6" i="2"/>
  <c r="E4" i="2"/>
  <c r="E9" i="2"/>
  <c r="B11" i="2"/>
  <c r="B7" i="2"/>
  <c r="C4" i="2"/>
  <c r="B8" i="2"/>
  <c r="B12" i="2"/>
  <c r="B5" i="2"/>
  <c r="B9" i="2"/>
  <c r="B6" i="2"/>
  <c r="B10" i="2"/>
  <c r="D12" i="2" l="1"/>
  <c r="D5" i="2"/>
  <c r="D7" i="2"/>
  <c r="D6" i="2"/>
  <c r="D10" i="2"/>
  <c r="D9" i="2"/>
  <c r="D11" i="2"/>
  <c r="D8" i="2"/>
  <c r="F10" i="2"/>
  <c r="D8" i="7"/>
  <c r="F8" i="7" s="1"/>
  <c r="F8" i="5"/>
  <c r="F32" i="5" s="1"/>
  <c r="D10" i="7"/>
  <c r="D10" i="8" s="1"/>
  <c r="F10" i="5"/>
  <c r="F34" i="5" s="1"/>
  <c r="E9" i="7"/>
  <c r="E9" i="8" s="1"/>
  <c r="F9" i="5"/>
  <c r="F33" i="5" s="1"/>
  <c r="D4" i="7"/>
  <c r="D4" i="8" s="1"/>
  <c r="F4" i="5"/>
  <c r="F28" i="5" s="1"/>
  <c r="E6" i="7"/>
  <c r="E6" i="8" s="1"/>
  <c r="F6" i="5"/>
  <c r="F30" i="5" s="1"/>
  <c r="D5" i="7"/>
  <c r="D5" i="8" s="1"/>
  <c r="F5" i="5"/>
  <c r="F29" i="5" s="1"/>
  <c r="G9" i="8"/>
  <c r="D34" i="8"/>
  <c r="C19" i="7"/>
  <c r="C15" i="8"/>
  <c r="C18" i="8"/>
  <c r="E18" i="7"/>
  <c r="E7" i="7"/>
  <c r="F7" i="7" s="1"/>
  <c r="C22" i="8"/>
  <c r="E22" i="7"/>
  <c r="G5" i="8"/>
  <c r="D19" i="7"/>
  <c r="G31" i="7" s="1"/>
  <c r="G6" i="8"/>
  <c r="G30" i="7"/>
  <c r="D31" i="8"/>
  <c r="C29" i="7"/>
  <c r="C29" i="8" s="1"/>
  <c r="C20" i="7"/>
  <c r="E20" i="7" s="1"/>
  <c r="G15" i="8"/>
  <c r="C9" i="7"/>
  <c r="C9" i="8" s="1"/>
  <c r="C33" i="7"/>
  <c r="C33" i="8" s="1"/>
  <c r="C16" i="8"/>
  <c r="E16" i="7"/>
  <c r="F15" i="8"/>
  <c r="F24" i="8" s="1"/>
  <c r="F24" i="7"/>
  <c r="G8" i="8"/>
  <c r="D33" i="7"/>
  <c r="D33" i="8" s="1"/>
  <c r="C10" i="7"/>
  <c r="C12" i="7" s="1"/>
  <c r="G18" i="7"/>
  <c r="G18" i="8" s="1"/>
  <c r="G4" i="8"/>
  <c r="D29" i="8"/>
  <c r="C23" i="8"/>
  <c r="D30" i="8"/>
  <c r="C35" i="7"/>
  <c r="C35" i="8" s="1"/>
  <c r="C5" i="8"/>
  <c r="G22" i="7"/>
  <c r="G22" i="8" s="1"/>
  <c r="C21" i="7"/>
  <c r="E21" i="7" s="1"/>
  <c r="D3" i="8"/>
  <c r="F3" i="7"/>
  <c r="G16" i="7"/>
  <c r="E11" i="7"/>
  <c r="F11" i="7" s="1"/>
  <c r="D27" i="7"/>
  <c r="G3" i="8"/>
  <c r="G12" i="7"/>
  <c r="D23" i="7"/>
  <c r="E23" i="7" s="1"/>
  <c r="D17" i="7"/>
  <c r="C27" i="7"/>
  <c r="G10" i="8"/>
  <c r="G34" i="7"/>
  <c r="D35" i="8"/>
  <c r="E4" i="8"/>
  <c r="H3" i="8"/>
  <c r="F6" i="7"/>
  <c r="D15" i="7"/>
  <c r="D28" i="7"/>
  <c r="G11" i="8"/>
  <c r="C17" i="7"/>
  <c r="G7" i="8"/>
  <c r="D32" i="7"/>
  <c r="E10" i="7"/>
  <c r="H9" i="7"/>
  <c r="F11" i="2"/>
  <c r="F6" i="2"/>
  <c r="G27" i="5"/>
  <c r="L4" i="2"/>
  <c r="H12" i="5"/>
  <c r="F8" i="2"/>
  <c r="F5" i="2"/>
  <c r="F9" i="2"/>
  <c r="F12" i="2"/>
  <c r="E13" i="2"/>
  <c r="F4" i="2"/>
  <c r="C13" i="2"/>
  <c r="B18" i="3" s="1"/>
  <c r="E34" i="8" l="1"/>
  <c r="L25" i="2"/>
  <c r="E32" i="8"/>
  <c r="L23" i="2"/>
  <c r="E33" i="8"/>
  <c r="L24" i="2"/>
  <c r="E29" i="8"/>
  <c r="L20" i="2"/>
  <c r="E30" i="8"/>
  <c r="L21" i="2"/>
  <c r="E28" i="8"/>
  <c r="L19" i="2"/>
  <c r="E31" i="8"/>
  <c r="L22" i="2"/>
  <c r="E35" i="8"/>
  <c r="L26" i="2"/>
  <c r="L12" i="2"/>
  <c r="G33" i="7"/>
  <c r="F27" i="7"/>
  <c r="L9" i="2"/>
  <c r="L10" i="2"/>
  <c r="L5" i="2"/>
  <c r="L7" i="2"/>
  <c r="L6" i="2"/>
  <c r="L8" i="2"/>
  <c r="D13" i="2"/>
  <c r="B17" i="3" s="1"/>
  <c r="L11" i="2"/>
  <c r="D8" i="8"/>
  <c r="F10" i="7"/>
  <c r="F10" i="8" s="1"/>
  <c r="F5" i="7"/>
  <c r="I5" i="7" s="1"/>
  <c r="G29" i="7"/>
  <c r="M29" i="7" s="1"/>
  <c r="C21" i="8"/>
  <c r="F9" i="7"/>
  <c r="F33" i="7" s="1"/>
  <c r="D12" i="7"/>
  <c r="F4" i="7"/>
  <c r="K28" i="7" s="1"/>
  <c r="C20" i="8"/>
  <c r="D19" i="8"/>
  <c r="K32" i="7"/>
  <c r="C10" i="8"/>
  <c r="C12" i="8" s="1"/>
  <c r="E12" i="7"/>
  <c r="E7" i="8"/>
  <c r="E10" i="8"/>
  <c r="H9" i="8"/>
  <c r="H12" i="8" s="1"/>
  <c r="E19" i="7"/>
  <c r="K31" i="7" s="1"/>
  <c r="K30" i="7"/>
  <c r="G24" i="7"/>
  <c r="G16" i="8"/>
  <c r="G24" i="8" s="1"/>
  <c r="H12" i="7"/>
  <c r="M33" i="7"/>
  <c r="D36" i="7"/>
  <c r="F11" i="8"/>
  <c r="F35" i="7"/>
  <c r="I11" i="7"/>
  <c r="G32" i="7"/>
  <c r="F7" i="8"/>
  <c r="F31" i="7"/>
  <c r="I7" i="7"/>
  <c r="D17" i="8"/>
  <c r="D24" i="7"/>
  <c r="D23" i="8"/>
  <c r="D28" i="8"/>
  <c r="K35" i="7"/>
  <c r="D32" i="8"/>
  <c r="C19" i="8"/>
  <c r="M31" i="7"/>
  <c r="E11" i="8"/>
  <c r="G28" i="7"/>
  <c r="M28" i="7" s="1"/>
  <c r="E17" i="7"/>
  <c r="F6" i="8"/>
  <c r="F30" i="7"/>
  <c r="I6" i="7"/>
  <c r="M34" i="7"/>
  <c r="C17" i="8"/>
  <c r="G27" i="7"/>
  <c r="C24" i="7"/>
  <c r="C36" i="7"/>
  <c r="E15" i="7"/>
  <c r="K27" i="7" s="1"/>
  <c r="F8" i="8"/>
  <c r="I8" i="7"/>
  <c r="F32" i="7"/>
  <c r="D15" i="8"/>
  <c r="G35" i="7"/>
  <c r="M35" i="7" s="1"/>
  <c r="G12" i="8"/>
  <c r="I3" i="7"/>
  <c r="C27" i="8"/>
  <c r="C36" i="8" s="1"/>
  <c r="D27" i="8"/>
  <c r="D12" i="8"/>
  <c r="M30" i="7"/>
  <c r="M27" i="5"/>
  <c r="F13" i="2"/>
  <c r="B15" i="3" s="1"/>
  <c r="E36" i="8" l="1"/>
  <c r="I9" i="7"/>
  <c r="F9" i="8"/>
  <c r="K33" i="7"/>
  <c r="B16" i="3"/>
  <c r="K34" i="7"/>
  <c r="I10" i="7"/>
  <c r="F29" i="7"/>
  <c r="L29" i="7" s="1"/>
  <c r="F34" i="7"/>
  <c r="L34" i="7" s="1"/>
  <c r="F5" i="8"/>
  <c r="K29" i="7"/>
  <c r="F12" i="7"/>
  <c r="K5" i="7" s="1"/>
  <c r="I4" i="7"/>
  <c r="F4" i="8"/>
  <c r="F28" i="7"/>
  <c r="L28" i="7" s="1"/>
  <c r="C24" i="8"/>
  <c r="E12" i="8"/>
  <c r="D24" i="8"/>
  <c r="E24" i="7"/>
  <c r="L33" i="7"/>
  <c r="G27" i="8"/>
  <c r="L27" i="8" s="1"/>
  <c r="M27" i="7"/>
  <c r="G36" i="7"/>
  <c r="L35" i="7"/>
  <c r="L32" i="7"/>
  <c r="L30" i="7"/>
  <c r="L31" i="7"/>
  <c r="L27" i="7"/>
  <c r="D36" i="8"/>
  <c r="M32" i="7"/>
  <c r="E36" i="5"/>
  <c r="M36" i="7" l="1"/>
  <c r="K3" i="7"/>
  <c r="I12" i="7"/>
  <c r="K6" i="7" s="1"/>
  <c r="F36" i="7"/>
  <c r="K4" i="7" s="1"/>
  <c r="K36" i="7"/>
  <c r="K7" i="7"/>
  <c r="J27" i="8"/>
  <c r="E20" i="5"/>
  <c r="E21" i="5"/>
  <c r="G32" i="5"/>
  <c r="G32" i="8" s="1"/>
  <c r="G29" i="5"/>
  <c r="G29" i="8" s="1"/>
  <c r="G33" i="5"/>
  <c r="G33" i="8" s="1"/>
  <c r="G34" i="5"/>
  <c r="G34" i="8" s="1"/>
  <c r="G30" i="5"/>
  <c r="G30" i="8" s="1"/>
  <c r="I7" i="5"/>
  <c r="I7" i="8" s="1"/>
  <c r="G35" i="5"/>
  <c r="G35" i="8" s="1"/>
  <c r="L36" i="7" l="1"/>
  <c r="K33" i="5"/>
  <c r="E21" i="8"/>
  <c r="H33" i="8" s="1"/>
  <c r="L35" i="8"/>
  <c r="J35" i="8"/>
  <c r="L34" i="8"/>
  <c r="J34" i="8"/>
  <c r="J29" i="8"/>
  <c r="L29" i="8"/>
  <c r="K32" i="5"/>
  <c r="E20" i="8"/>
  <c r="H32" i="8" s="1"/>
  <c r="L30" i="8"/>
  <c r="J30" i="8"/>
  <c r="J33" i="8"/>
  <c r="L33" i="8"/>
  <c r="L32" i="8"/>
  <c r="J32" i="8"/>
  <c r="M34" i="5"/>
  <c r="M29" i="5"/>
  <c r="M30" i="5"/>
  <c r="M33" i="5"/>
  <c r="M32" i="5"/>
  <c r="M35" i="5"/>
  <c r="E16" i="5"/>
  <c r="I5" i="5"/>
  <c r="I5" i="8" s="1"/>
  <c r="C36" i="5"/>
  <c r="D36" i="5"/>
  <c r="I9" i="5"/>
  <c r="I9" i="8" s="1"/>
  <c r="G31" i="5"/>
  <c r="G31" i="8" s="1"/>
  <c r="E15" i="5"/>
  <c r="C24" i="5"/>
  <c r="I11" i="5"/>
  <c r="I11" i="8" s="1"/>
  <c r="E23" i="5"/>
  <c r="E22" i="5"/>
  <c r="D24" i="5"/>
  <c r="E19" i="5"/>
  <c r="E18" i="5"/>
  <c r="E17" i="5"/>
  <c r="I4" i="5"/>
  <c r="I4" i="8" s="1"/>
  <c r="F24" i="5"/>
  <c r="D12" i="5"/>
  <c r="C12" i="5"/>
  <c r="G12" i="5"/>
  <c r="G28" i="5"/>
  <c r="I6" i="5"/>
  <c r="I6" i="8" s="1"/>
  <c r="I8" i="5"/>
  <c r="I8" i="8" s="1"/>
  <c r="F3" i="5"/>
  <c r="E12" i="5"/>
  <c r="I10" i="5"/>
  <c r="I10" i="8" s="1"/>
  <c r="F3" i="8" l="1"/>
  <c r="F27" i="5"/>
  <c r="E15" i="8"/>
  <c r="K27" i="5"/>
  <c r="L31" i="5"/>
  <c r="F31" i="8"/>
  <c r="L35" i="5"/>
  <c r="F35" i="8"/>
  <c r="K34" i="5"/>
  <c r="E22" i="8"/>
  <c r="H34" i="8" s="1"/>
  <c r="M28" i="5"/>
  <c r="G28" i="8"/>
  <c r="K28" i="5"/>
  <c r="E16" i="8"/>
  <c r="H28" i="8" s="1"/>
  <c r="K29" i="5"/>
  <c r="E17" i="8"/>
  <c r="H29" i="8" s="1"/>
  <c r="K30" i="5"/>
  <c r="E18" i="8"/>
  <c r="H30" i="8" s="1"/>
  <c r="L31" i="8"/>
  <c r="J31" i="8"/>
  <c r="K35" i="5"/>
  <c r="E23" i="8"/>
  <c r="H35" i="8" s="1"/>
  <c r="L29" i="5"/>
  <c r="F29" i="8"/>
  <c r="K31" i="5"/>
  <c r="E19" i="8"/>
  <c r="H31" i="8" s="1"/>
  <c r="F12" i="8"/>
  <c r="H27" i="8"/>
  <c r="L27" i="5"/>
  <c r="M31" i="5"/>
  <c r="G36" i="5"/>
  <c r="K3" i="5" s="1"/>
  <c r="I3" i="5"/>
  <c r="I3" i="8" s="1"/>
  <c r="I12" i="8" s="1"/>
  <c r="E24" i="5"/>
  <c r="K7" i="5" s="1"/>
  <c r="F12" i="5"/>
  <c r="F27" i="8" l="1"/>
  <c r="K6" i="8"/>
  <c r="L28" i="5"/>
  <c r="F28" i="8"/>
  <c r="E24" i="8"/>
  <c r="K7" i="8" s="1"/>
  <c r="K35" i="8"/>
  <c r="I35" i="8"/>
  <c r="L32" i="5"/>
  <c r="F32" i="8"/>
  <c r="K31" i="8"/>
  <c r="I31" i="8"/>
  <c r="L28" i="8"/>
  <c r="L36" i="8" s="1"/>
  <c r="J28" i="8"/>
  <c r="G36" i="8"/>
  <c r="K3" i="8" s="1"/>
  <c r="K29" i="8"/>
  <c r="I29" i="8"/>
  <c r="L33" i="5"/>
  <c r="F33" i="8"/>
  <c r="L30" i="5"/>
  <c r="F30" i="8"/>
  <c r="L34" i="5"/>
  <c r="F34" i="8"/>
  <c r="K5" i="8"/>
  <c r="I12" i="5"/>
  <c r="K6" i="5" s="1"/>
  <c r="M36" i="5"/>
  <c r="K36" i="5"/>
  <c r="F36" i="5"/>
  <c r="K5" i="5"/>
  <c r="K27" i="8" l="1"/>
  <c r="I27" i="8"/>
  <c r="H36" i="8"/>
  <c r="F36" i="8"/>
  <c r="K33" i="8"/>
  <c r="I33" i="8"/>
  <c r="I32" i="8"/>
  <c r="K32" i="8"/>
  <c r="J36" i="8"/>
  <c r="I30" i="8"/>
  <c r="K30" i="8"/>
  <c r="I28" i="8"/>
  <c r="K28" i="8"/>
  <c r="K34" i="8"/>
  <c r="I34" i="8"/>
  <c r="K4" i="5"/>
  <c r="L36" i="5"/>
  <c r="I36" i="8" l="1"/>
  <c r="K4" i="8"/>
  <c r="K3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Parker, John [IDOM]</author>
  </authors>
  <commentList>
    <comment ref="B2" authorId="0" shapeId="0" xr:uid="{CDFD5B60-2DEF-48DB-896C-CFF512373436}">
      <text>
        <r>
          <rPr>
            <b/>
            <sz val="12"/>
            <color indexed="81"/>
            <rFont val="Tahoma"/>
            <family val="2"/>
          </rPr>
          <t>Select Payment Month Using Dropdown</t>
        </r>
      </text>
    </comment>
  </commentList>
</comments>
</file>

<file path=xl/sharedStrings.xml><?xml version="1.0" encoding="utf-8"?>
<sst xmlns="http://schemas.openxmlformats.org/spreadsheetml/2006/main" count="2886" uniqueCount="779">
  <si>
    <t>Original Budget</t>
  </si>
  <si>
    <t>Pay1 - Sept - May</t>
  </si>
  <si>
    <t>Pay 2 Final</t>
  </si>
  <si>
    <t>Paid Thru September</t>
  </si>
  <si>
    <t>Paid Thru October</t>
  </si>
  <si>
    <t>Paid Thru November</t>
  </si>
  <si>
    <t>Paid Thru December</t>
  </si>
  <si>
    <t>Paid Thru January</t>
  </si>
  <si>
    <t>Paid Thru February</t>
  </si>
  <si>
    <t>Paid Thru March</t>
  </si>
  <si>
    <t>Paid Thru April</t>
  </si>
  <si>
    <t>Paid Thru May</t>
  </si>
  <si>
    <t>Paid Thru June</t>
  </si>
  <si>
    <t>01</t>
  </si>
  <si>
    <t>05</t>
  </si>
  <si>
    <t>07</t>
  </si>
  <si>
    <t>09</t>
  </si>
  <si>
    <t>10</t>
  </si>
  <si>
    <t>11</t>
  </si>
  <si>
    <t>12</t>
  </si>
  <si>
    <t>13</t>
  </si>
  <si>
    <t>15</t>
  </si>
  <si>
    <t>Fiscal Year</t>
  </si>
  <si>
    <t>Pick List for Payment Month</t>
  </si>
  <si>
    <t>September</t>
  </si>
  <si>
    <t>Pay 1</t>
  </si>
  <si>
    <t>October</t>
  </si>
  <si>
    <t>November</t>
  </si>
  <si>
    <t>December</t>
  </si>
  <si>
    <t>January</t>
  </si>
  <si>
    <t>Pay 2</t>
  </si>
  <si>
    <t>February</t>
  </si>
  <si>
    <t>March</t>
  </si>
  <si>
    <t>April</t>
  </si>
  <si>
    <t>May</t>
  </si>
  <si>
    <t>June</t>
  </si>
  <si>
    <t>Original
Budget</t>
  </si>
  <si>
    <t>Amount
Remaining</t>
  </si>
  <si>
    <t>Checks</t>
  </si>
  <si>
    <t>Should Equal zero</t>
  </si>
  <si>
    <t>Amount paid + Remaining - Budget</t>
  </si>
  <si>
    <t>Change To AEA</t>
  </si>
  <si>
    <t>Pay from SAS</t>
  </si>
  <si>
    <t>Payment *Pay - Paid</t>
  </si>
  <si>
    <t>SAS vs SAS</t>
  </si>
  <si>
    <t>Payment Number for Check</t>
  </si>
  <si>
    <t>AEA</t>
  </si>
  <si>
    <t>AEA Name</t>
  </si>
  <si>
    <t>Keystone AEA 1</t>
  </si>
  <si>
    <t>Prairie Lakes AEA 8</t>
  </si>
  <si>
    <t>Central Rivers</t>
  </si>
  <si>
    <t>Mississippi Bend AEA 9</t>
  </si>
  <si>
    <t>Grant Wood AEA 10</t>
  </si>
  <si>
    <t>Heartland AEA 11</t>
  </si>
  <si>
    <t>Northwest AEA</t>
  </si>
  <si>
    <t>Green Hills AEA 13</t>
  </si>
  <si>
    <t>Great Prairie AEA 15</t>
  </si>
  <si>
    <t>Control</t>
  </si>
  <si>
    <t>Will not Equal Zero on the last payment because the final payment is the difference of what has been paid vs what is left, so does not equal the the total amount paid. Off by $1,200 to $1,500</t>
  </si>
  <si>
    <t>FiscalYear</t>
  </si>
  <si>
    <t>Dist</t>
  </si>
  <si>
    <t>District</t>
  </si>
  <si>
    <t>AEA Special Ed Support District Cost Formula Generated</t>
  </si>
  <si>
    <t>State Aid Portion Special Ed</t>
  </si>
  <si>
    <t>AEA Statewide State Aid Reduction</t>
  </si>
  <si>
    <t>State Aid Special Ed Minus Reduction</t>
  </si>
  <si>
    <t>Special Education Property Tax Portion</t>
  </si>
  <si>
    <t>AEA Special Ed Support Adjustment</t>
  </si>
  <si>
    <t>Total Special Ed Funding Removing Reduction Including Adjustment</t>
  </si>
  <si>
    <t>State Aid Portion Sharing Operations</t>
  </si>
  <si>
    <t>Sharing Operations Property Tax</t>
  </si>
  <si>
    <t>Total AEA Sharing Operations</t>
  </si>
  <si>
    <t>AEA Teacher Salary Supplement District Cost</t>
  </si>
  <si>
    <t>AEA Professional Development Supplement District Cost</t>
  </si>
  <si>
    <t>AEA Media Services District Cost</t>
  </si>
  <si>
    <t>AEA Ed Services District Cost</t>
  </si>
  <si>
    <t>Total Budget</t>
  </si>
  <si>
    <t>State Aid Portion</t>
  </si>
  <si>
    <t>Property Tax Portion</t>
  </si>
  <si>
    <t>Adair-Casey</t>
  </si>
  <si>
    <t>Adel-Desoto-Minburn</t>
  </si>
  <si>
    <t>AGWSR</t>
  </si>
  <si>
    <t>AHSTW</t>
  </si>
  <si>
    <t>Akron-Westfield</t>
  </si>
  <si>
    <t>Albert City-Truesdale</t>
  </si>
  <si>
    <t>Albia</t>
  </si>
  <si>
    <t>Alburnett</t>
  </si>
  <si>
    <t>Alden</t>
  </si>
  <si>
    <t>Algona</t>
  </si>
  <si>
    <t>Allamakee</t>
  </si>
  <si>
    <t>Alta-Aurelia</t>
  </si>
  <si>
    <t>Ames</t>
  </si>
  <si>
    <t>Anamosa</t>
  </si>
  <si>
    <t>Andrew</t>
  </si>
  <si>
    <t>Ankeny</t>
  </si>
  <si>
    <t>Aplington-Parkersburg</t>
  </si>
  <si>
    <t>Ar-We-Va</t>
  </si>
  <si>
    <t>Atlantic</t>
  </si>
  <si>
    <t>Audubon</t>
  </si>
  <si>
    <t>Ballard</t>
  </si>
  <si>
    <t>Baxter</t>
  </si>
  <si>
    <t>BCLUW</t>
  </si>
  <si>
    <t>Bedford</t>
  </si>
  <si>
    <t>Belle Plaine</t>
  </si>
  <si>
    <t>Bellevue</t>
  </si>
  <si>
    <t>Belmond-Klemme</t>
  </si>
  <si>
    <t>Bennett</t>
  </si>
  <si>
    <t>Benton</t>
  </si>
  <si>
    <t>Bettendorf</t>
  </si>
  <si>
    <t>Bondurant-Farrar</t>
  </si>
  <si>
    <t>Boone</t>
  </si>
  <si>
    <t>Boyden-Hull</t>
  </si>
  <si>
    <t>Boyer Valley</t>
  </si>
  <si>
    <t>Brooklyn-Guernsey-Malcom</t>
  </si>
  <si>
    <t>Burlington</t>
  </si>
  <si>
    <t>CAL</t>
  </si>
  <si>
    <t>Calamus-Wheatland</t>
  </si>
  <si>
    <t>CAM</t>
  </si>
  <si>
    <t>Camanche</t>
  </si>
  <si>
    <t>Cardinal</t>
  </si>
  <si>
    <t>Carlisle</t>
  </si>
  <si>
    <t>Carroll</t>
  </si>
  <si>
    <t>Cedar Falls</t>
  </si>
  <si>
    <t>Cedar Rapids</t>
  </si>
  <si>
    <t>Center Point-Urbana</t>
  </si>
  <si>
    <t>Centerville</t>
  </si>
  <si>
    <t>Central City</t>
  </si>
  <si>
    <t>Central Clayton</t>
  </si>
  <si>
    <t>Central De Witt</t>
  </si>
  <si>
    <t>Central Decatur</t>
  </si>
  <si>
    <t>Central Lee</t>
  </si>
  <si>
    <t>Central Lyon</t>
  </si>
  <si>
    <t>Central Springs</t>
  </si>
  <si>
    <t>Chariton</t>
  </si>
  <si>
    <t>Charles City</t>
  </si>
  <si>
    <t>Charter Oak-Ute</t>
  </si>
  <si>
    <t>Cherokee</t>
  </si>
  <si>
    <t>Clarinda</t>
  </si>
  <si>
    <t>Clarion-Goldfield-Dows</t>
  </si>
  <si>
    <t>Clarke</t>
  </si>
  <si>
    <t>Clarksville</t>
  </si>
  <si>
    <t>Clay Central-Everly</t>
  </si>
  <si>
    <t>Clayton Ridge</t>
  </si>
  <si>
    <t>Clear Creek-Amana</t>
  </si>
  <si>
    <t>Clear Lake</t>
  </si>
  <si>
    <t>Clinton</t>
  </si>
  <si>
    <t>Colfax-Mingo</t>
  </si>
  <si>
    <t>College Community</t>
  </si>
  <si>
    <t>Collins-Maxwell</t>
  </si>
  <si>
    <t>Colo-Nesco</t>
  </si>
  <si>
    <t>Columbus</t>
  </si>
  <si>
    <t>Coon Rapids-Bayard</t>
  </si>
  <si>
    <t>Corning</t>
  </si>
  <si>
    <t>Council Bluffs</t>
  </si>
  <si>
    <t>Creston</t>
  </si>
  <si>
    <t>Dallas Center-Grimes</t>
  </si>
  <si>
    <t>Danville</t>
  </si>
  <si>
    <t>Davenport</t>
  </si>
  <si>
    <t>Davis County</t>
  </si>
  <si>
    <t>Decorah</t>
  </si>
  <si>
    <t>Delwood</t>
  </si>
  <si>
    <t>Denison</t>
  </si>
  <si>
    <t>Denver</t>
  </si>
  <si>
    <t>Des Moines</t>
  </si>
  <si>
    <t>Diagonal</t>
  </si>
  <si>
    <t>Dike-New Hartford</t>
  </si>
  <si>
    <t>Dubuque</t>
  </si>
  <si>
    <t>Dunkerton</t>
  </si>
  <si>
    <t>Durant</t>
  </si>
  <si>
    <t>Eagle Grove</t>
  </si>
  <si>
    <t>Earlham</t>
  </si>
  <si>
    <t>East Buchanan</t>
  </si>
  <si>
    <t>East Marshall</t>
  </si>
  <si>
    <t>East Mills</t>
  </si>
  <si>
    <t>East Sac County</t>
  </si>
  <si>
    <t>East Union</t>
  </si>
  <si>
    <t>Eastern Allamakee</t>
  </si>
  <si>
    <t>Easton Valley</t>
  </si>
  <si>
    <t>Eddyville-Blakesburg-Fremont</t>
  </si>
  <si>
    <t>Edgewood-Colesburg</t>
  </si>
  <si>
    <t>Eldora-New Providence</t>
  </si>
  <si>
    <t>Emmetsburg</t>
  </si>
  <si>
    <t>English Valleys</t>
  </si>
  <si>
    <t>Essex</t>
  </si>
  <si>
    <t>Estherville-Lincoln Central</t>
  </si>
  <si>
    <t>Exira-Elk Horn-Kimballton</t>
  </si>
  <si>
    <t>Fairfield</t>
  </si>
  <si>
    <t>Forest City</t>
  </si>
  <si>
    <t>Fort Dodge</t>
  </si>
  <si>
    <t>Fort Madison</t>
  </si>
  <si>
    <t>Fremont-Mills</t>
  </si>
  <si>
    <t>Galva-Holstein</t>
  </si>
  <si>
    <t>Garner-Hayfield-Ventura</t>
  </si>
  <si>
    <t>George-Little Rock</t>
  </si>
  <si>
    <t>Gilbert</t>
  </si>
  <si>
    <t>Gilmore City-Bradgate</t>
  </si>
  <si>
    <t>Gladbrook-Reinbeck</t>
  </si>
  <si>
    <t>Glenwood</t>
  </si>
  <si>
    <t>Glidden-Ralston</t>
  </si>
  <si>
    <t>GMG</t>
  </si>
  <si>
    <t>Graettinger-Terril</t>
  </si>
  <si>
    <t>Greene County</t>
  </si>
  <si>
    <t>Grinnell-Newburg</t>
  </si>
  <si>
    <t>Griswold</t>
  </si>
  <si>
    <t>Grundy Center</t>
  </si>
  <si>
    <t>Guthrie Center</t>
  </si>
  <si>
    <t>Hamburg</t>
  </si>
  <si>
    <t>Hampton-Dumont</t>
  </si>
  <si>
    <t>Harlan</t>
  </si>
  <si>
    <t>Harris-Lake Park</t>
  </si>
  <si>
    <t>Hartley-Melvin-Sanborn</t>
  </si>
  <si>
    <t>Highland</t>
  </si>
  <si>
    <t>Hinton</t>
  </si>
  <si>
    <t>HLV</t>
  </si>
  <si>
    <t>Howard-Winneshiek</t>
  </si>
  <si>
    <t>Hubbard-Radcliffe</t>
  </si>
  <si>
    <t>Hudson</t>
  </si>
  <si>
    <t>Humboldt</t>
  </si>
  <si>
    <t>IKM-Manning</t>
  </si>
  <si>
    <t>Independence</t>
  </si>
  <si>
    <t>Indianola</t>
  </si>
  <si>
    <t>Interstate 35</t>
  </si>
  <si>
    <t>Iowa City</t>
  </si>
  <si>
    <t>Iowa Falls</t>
  </si>
  <si>
    <t>Iowa Valley</t>
  </si>
  <si>
    <t>Janesville</t>
  </si>
  <si>
    <t>Jesup</t>
  </si>
  <si>
    <t>Johnston</t>
  </si>
  <si>
    <t>Keokuk</t>
  </si>
  <si>
    <t>Keota</t>
  </si>
  <si>
    <t>Kingsley-Pierson</t>
  </si>
  <si>
    <t>Knoxville</t>
  </si>
  <si>
    <t>Lake Mills</t>
  </si>
  <si>
    <t>Lamoni</t>
  </si>
  <si>
    <t>Laurens-Marathon</t>
  </si>
  <si>
    <t>Lawton-Bronson</t>
  </si>
  <si>
    <t>Le Mars</t>
  </si>
  <si>
    <t>Lenox</t>
  </si>
  <si>
    <t>Lewis Central</t>
  </si>
  <si>
    <t>Linn-Mar</t>
  </si>
  <si>
    <t>Lisbon</t>
  </si>
  <si>
    <t>Logan-Magnolia</t>
  </si>
  <si>
    <t>Lone Tree</t>
  </si>
  <si>
    <t>Louisa-Muscatine</t>
  </si>
  <si>
    <t>Lynnville-Sully</t>
  </si>
  <si>
    <t>Madrid</t>
  </si>
  <si>
    <t>Manson-Northwest Webster</t>
  </si>
  <si>
    <t>Maple Valley-Anthon Oto</t>
  </si>
  <si>
    <t>Maquoketa</t>
  </si>
  <si>
    <t>Maquoketa Valley</t>
  </si>
  <si>
    <t>Marcus-Meriden Cleghorn</t>
  </si>
  <si>
    <t>Marion</t>
  </si>
  <si>
    <t>Marshalltown</t>
  </si>
  <si>
    <t>Martensdale-St Marys</t>
  </si>
  <si>
    <t>Mason City</t>
  </si>
  <si>
    <t>Mediapolis</t>
  </si>
  <si>
    <t>Melcher-Dallas</t>
  </si>
  <si>
    <t>MFL Mar Mac</t>
  </si>
  <si>
    <t>Mid-Prairie</t>
  </si>
  <si>
    <t>Midland</t>
  </si>
  <si>
    <t>Missouri Valley</t>
  </si>
  <si>
    <t>Moc-Floyd Valley</t>
  </si>
  <si>
    <t>Montezuma</t>
  </si>
  <si>
    <t>Monticello</t>
  </si>
  <si>
    <t>Moravia</t>
  </si>
  <si>
    <t>Mormon Trail</t>
  </si>
  <si>
    <t>Morning Sun</t>
  </si>
  <si>
    <t>Moulton-Udell</t>
  </si>
  <si>
    <t>Mount Ayr</t>
  </si>
  <si>
    <t>Mount Pleasant</t>
  </si>
  <si>
    <t>Mount Vernon</t>
  </si>
  <si>
    <t>Murray</t>
  </si>
  <si>
    <t>Muscatine</t>
  </si>
  <si>
    <t>Nashua-Plainfield</t>
  </si>
  <si>
    <t>Nevada</t>
  </si>
  <si>
    <t>New Hampton</t>
  </si>
  <si>
    <t>New London</t>
  </si>
  <si>
    <t>Newell-Fonda</t>
  </si>
  <si>
    <t>Newton</t>
  </si>
  <si>
    <t>Nodaway Valley</t>
  </si>
  <si>
    <t>North Butler</t>
  </si>
  <si>
    <t>North Cedar</t>
  </si>
  <si>
    <t>North Fayette Valley</t>
  </si>
  <si>
    <t>North Iowa</t>
  </si>
  <si>
    <t>North Kossuth</t>
  </si>
  <si>
    <t>North Linn</t>
  </si>
  <si>
    <t>North Mahaska</t>
  </si>
  <si>
    <t>North Polk</t>
  </si>
  <si>
    <t>North Scott</t>
  </si>
  <si>
    <t>North Tama</t>
  </si>
  <si>
    <t>North Union</t>
  </si>
  <si>
    <t>Northeast</t>
  </si>
  <si>
    <t>Northwood-Kensett</t>
  </si>
  <si>
    <t>Norwalk</t>
  </si>
  <si>
    <t>Odebolt Arthur Battle Creek Ida Gr</t>
  </si>
  <si>
    <t>Oelwein</t>
  </si>
  <si>
    <t>Ogden</t>
  </si>
  <si>
    <t>Okoboji</t>
  </si>
  <si>
    <t>Olin</t>
  </si>
  <si>
    <t>Orient-Macksburg</t>
  </si>
  <si>
    <t>Osage</t>
  </si>
  <si>
    <t>Oskaloosa</t>
  </si>
  <si>
    <t>Ottumwa</t>
  </si>
  <si>
    <t>Panorama</t>
  </si>
  <si>
    <t>Paton-Churdan</t>
  </si>
  <si>
    <t>PCM</t>
  </si>
  <si>
    <t>Pekin</t>
  </si>
  <si>
    <t>Pella</t>
  </si>
  <si>
    <t>Perry</t>
  </si>
  <si>
    <t>Pleasant Valley</t>
  </si>
  <si>
    <t>Pleasantville</t>
  </si>
  <si>
    <t>Pocahontas Area</t>
  </si>
  <si>
    <t>Postville</t>
  </si>
  <si>
    <t>Red Oak</t>
  </si>
  <si>
    <t>Remsen-Union</t>
  </si>
  <si>
    <t>Riceville</t>
  </si>
  <si>
    <t>River Valley</t>
  </si>
  <si>
    <t>Riverside</t>
  </si>
  <si>
    <t>Rock Valley</t>
  </si>
  <si>
    <t>Roland-Story</t>
  </si>
  <si>
    <t>Rudd-Rockford-Marble Rock</t>
  </si>
  <si>
    <t>Ruthven-Ayrshire</t>
  </si>
  <si>
    <t>Saydel</t>
  </si>
  <si>
    <t>Schaller-Crestland</t>
  </si>
  <si>
    <t>Schleswig</t>
  </si>
  <si>
    <t>Sergeant Bluff-Luton</t>
  </si>
  <si>
    <t>Seymour</t>
  </si>
  <si>
    <t>Sheldon</t>
  </si>
  <si>
    <t>Shenandoah</t>
  </si>
  <si>
    <t>Sibley-Ocheyedan</t>
  </si>
  <si>
    <t>Sidney</t>
  </si>
  <si>
    <t>Sigourney</t>
  </si>
  <si>
    <t>Sioux Center</t>
  </si>
  <si>
    <t>Sioux Central</t>
  </si>
  <si>
    <t>Sioux City</t>
  </si>
  <si>
    <t>Solon</t>
  </si>
  <si>
    <t>South Central Calhoun</t>
  </si>
  <si>
    <t>South Hamilton</t>
  </si>
  <si>
    <t>South O'Brien</t>
  </si>
  <si>
    <t>South Page</t>
  </si>
  <si>
    <t>South Tama</t>
  </si>
  <si>
    <t>South Winneshiek</t>
  </si>
  <si>
    <t>Southeast Polk</t>
  </si>
  <si>
    <t>Southeast Valley</t>
  </si>
  <si>
    <t>Southeast Warren</t>
  </si>
  <si>
    <t>Spencer</t>
  </si>
  <si>
    <t>Spirit Lake</t>
  </si>
  <si>
    <t>Springville</t>
  </si>
  <si>
    <t>St Ansgar</t>
  </si>
  <si>
    <t>Stanton</t>
  </si>
  <si>
    <t>Starmont</t>
  </si>
  <si>
    <t>Storm Lake</t>
  </si>
  <si>
    <t>Stratford</t>
  </si>
  <si>
    <t>Sumner-Fredericksburg</t>
  </si>
  <si>
    <t>Tipton</t>
  </si>
  <si>
    <t>Treynor</t>
  </si>
  <si>
    <t>Tri-Center</t>
  </si>
  <si>
    <t>Tri-County</t>
  </si>
  <si>
    <t>Tripoli</t>
  </si>
  <si>
    <t>Turkey Valley</t>
  </si>
  <si>
    <t>Twin Cedars</t>
  </si>
  <si>
    <t>Twin Rivers</t>
  </si>
  <si>
    <t>Underwood</t>
  </si>
  <si>
    <t>Union</t>
  </si>
  <si>
    <t>United</t>
  </si>
  <si>
    <t>Urbandale</t>
  </si>
  <si>
    <t>Van Buren County</t>
  </si>
  <si>
    <t>Van Meter</t>
  </si>
  <si>
    <t>Villisca</t>
  </si>
  <si>
    <t>Vinton-Shellsburg</t>
  </si>
  <si>
    <t>Waco</t>
  </si>
  <si>
    <t>Wapello</t>
  </si>
  <si>
    <t>Wapsie Valley</t>
  </si>
  <si>
    <t>Washington</t>
  </si>
  <si>
    <t>Waterloo</t>
  </si>
  <si>
    <t>Waukee</t>
  </si>
  <si>
    <t>Waverly-Shell Rock</t>
  </si>
  <si>
    <t>Wayne</t>
  </si>
  <si>
    <t>Webster City</t>
  </si>
  <si>
    <t>West Bend-Mallard</t>
  </si>
  <si>
    <t>West Branch</t>
  </si>
  <si>
    <t>West Burlington</t>
  </si>
  <si>
    <t>West Central</t>
  </si>
  <si>
    <t>West Central Valley</t>
  </si>
  <si>
    <t>West Delaware Co</t>
  </si>
  <si>
    <t>West Des Moines</t>
  </si>
  <si>
    <t>West Fork</t>
  </si>
  <si>
    <t>West Hancock</t>
  </si>
  <si>
    <t>West Harrison</t>
  </si>
  <si>
    <t>West Liberty</t>
  </si>
  <si>
    <t>West Lyon</t>
  </si>
  <si>
    <t>West Marshall</t>
  </si>
  <si>
    <t>West Monona</t>
  </si>
  <si>
    <t>West Sioux</t>
  </si>
  <si>
    <t>Western Dubuque Co</t>
  </si>
  <si>
    <t>Westwood</t>
  </si>
  <si>
    <t>Whiting</t>
  </si>
  <si>
    <t>Williamsburg</t>
  </si>
  <si>
    <t>Wilton</t>
  </si>
  <si>
    <t>Winfield-Mt Union</t>
  </si>
  <si>
    <t>Winterset</t>
  </si>
  <si>
    <t>Woodbine</t>
  </si>
  <si>
    <t>Woodbury Central</t>
  </si>
  <si>
    <t>Woodward-Granger</t>
  </si>
  <si>
    <t>0018</t>
  </si>
  <si>
    <t>0027</t>
  </si>
  <si>
    <t>0009</t>
  </si>
  <si>
    <t>0441</t>
  </si>
  <si>
    <t>0063</t>
  </si>
  <si>
    <t>0072</t>
  </si>
  <si>
    <t>0081</t>
  </si>
  <si>
    <t>0099</t>
  </si>
  <si>
    <t>0108</t>
  </si>
  <si>
    <t>0126</t>
  </si>
  <si>
    <t>0135</t>
  </si>
  <si>
    <t>0171</t>
  </si>
  <si>
    <t>0225</t>
  </si>
  <si>
    <t>0234</t>
  </si>
  <si>
    <t>0243</t>
  </si>
  <si>
    <t>0261</t>
  </si>
  <si>
    <t>0279</t>
  </si>
  <si>
    <t>0355</t>
  </si>
  <si>
    <t>0387</t>
  </si>
  <si>
    <t>0414</t>
  </si>
  <si>
    <t>0472</t>
  </si>
  <si>
    <t>0513</t>
  </si>
  <si>
    <t>0540</t>
  </si>
  <si>
    <t>0549</t>
  </si>
  <si>
    <t>0576</t>
  </si>
  <si>
    <t>0585</t>
  </si>
  <si>
    <t>0594</t>
  </si>
  <si>
    <t>0603</t>
  </si>
  <si>
    <t>0609</t>
  </si>
  <si>
    <t>0621</t>
  </si>
  <si>
    <t>0720</t>
  </si>
  <si>
    <t>0729</t>
  </si>
  <si>
    <t>0747</t>
  </si>
  <si>
    <t>1917</t>
  </si>
  <si>
    <t>0846</t>
  </si>
  <si>
    <t>0882</t>
  </si>
  <si>
    <t>0916</t>
  </si>
  <si>
    <t>0918</t>
  </si>
  <si>
    <t>0914</t>
  </si>
  <si>
    <t>0936</t>
  </si>
  <si>
    <t>0977</t>
  </si>
  <si>
    <t>0981</t>
  </si>
  <si>
    <t>0999</t>
  </si>
  <si>
    <t>1044</t>
  </si>
  <si>
    <t>1053</t>
  </si>
  <si>
    <t>1062</t>
  </si>
  <si>
    <t>1071</t>
  </si>
  <si>
    <t>1089</t>
  </si>
  <si>
    <t>1080</t>
  </si>
  <si>
    <t>1082</t>
  </si>
  <si>
    <t>1093</t>
  </si>
  <si>
    <t>1079</t>
  </si>
  <si>
    <t>1095</t>
  </si>
  <si>
    <t>4772</t>
  </si>
  <si>
    <t>1107</t>
  </si>
  <si>
    <t>1116</t>
  </si>
  <si>
    <t>1134</t>
  </si>
  <si>
    <t>1152</t>
  </si>
  <si>
    <t>1197</t>
  </si>
  <si>
    <t>1206</t>
  </si>
  <si>
    <t>1211</t>
  </si>
  <si>
    <t>1215</t>
  </si>
  <si>
    <t>1218</t>
  </si>
  <si>
    <t>2763</t>
  </si>
  <si>
    <t>1221</t>
  </si>
  <si>
    <t>1233</t>
  </si>
  <si>
    <t>1278</t>
  </si>
  <si>
    <t>1332</t>
  </si>
  <si>
    <t>1337</t>
  </si>
  <si>
    <t>1350</t>
  </si>
  <si>
    <t>1359</t>
  </si>
  <si>
    <t>1368</t>
  </si>
  <si>
    <t>1413</t>
  </si>
  <si>
    <t>1431</t>
  </si>
  <si>
    <t>1476</t>
  </si>
  <si>
    <t>1503</t>
  </si>
  <si>
    <t>1576</t>
  </si>
  <si>
    <t>1602</t>
  </si>
  <si>
    <t>1611</t>
  </si>
  <si>
    <t>1619</t>
  </si>
  <si>
    <t>1638</t>
  </si>
  <si>
    <t>1675</t>
  </si>
  <si>
    <t>1701</t>
  </si>
  <si>
    <t>1719</t>
  </si>
  <si>
    <t>1737</t>
  </si>
  <si>
    <t>1782</t>
  </si>
  <si>
    <t>1791</t>
  </si>
  <si>
    <t>1863</t>
  </si>
  <si>
    <t>1908</t>
  </si>
  <si>
    <t>1926</t>
  </si>
  <si>
    <t>1944</t>
  </si>
  <si>
    <t>1953</t>
  </si>
  <si>
    <t>1963</t>
  </si>
  <si>
    <t>3582</t>
  </si>
  <si>
    <t>3978</t>
  </si>
  <si>
    <t>6741</t>
  </si>
  <si>
    <t>1970</t>
  </si>
  <si>
    <t>1972</t>
  </si>
  <si>
    <t>1965</t>
  </si>
  <si>
    <t>0657</t>
  </si>
  <si>
    <t>1989</t>
  </si>
  <si>
    <t>2007</t>
  </si>
  <si>
    <t>2088</t>
  </si>
  <si>
    <t>2097</t>
  </si>
  <si>
    <t>2113</t>
  </si>
  <si>
    <t>2124</t>
  </si>
  <si>
    <t>2151</t>
  </si>
  <si>
    <t>2169</t>
  </si>
  <si>
    <t>2295</t>
  </si>
  <si>
    <t>2313</t>
  </si>
  <si>
    <t>2322</t>
  </si>
  <si>
    <t>2369</t>
  </si>
  <si>
    <t>2376</t>
  </si>
  <si>
    <t>2403</t>
  </si>
  <si>
    <t>2457</t>
  </si>
  <si>
    <t>2466</t>
  </si>
  <si>
    <t>2493</t>
  </si>
  <si>
    <t>2502</t>
  </si>
  <si>
    <t>2511</t>
  </si>
  <si>
    <t>2520</t>
  </si>
  <si>
    <t>2682</t>
  </si>
  <si>
    <t>2556</t>
  </si>
  <si>
    <t>3195</t>
  </si>
  <si>
    <t>2709</t>
  </si>
  <si>
    <t>2718</t>
  </si>
  <si>
    <t>2727</t>
  </si>
  <si>
    <t>2754</t>
  </si>
  <si>
    <t>2772</t>
  </si>
  <si>
    <t>2781</t>
  </si>
  <si>
    <t>2826</t>
  </si>
  <si>
    <t>2846</t>
  </si>
  <si>
    <t>2862</t>
  </si>
  <si>
    <t>2977</t>
  </si>
  <si>
    <t>2988</t>
  </si>
  <si>
    <t>2766</t>
  </si>
  <si>
    <t>3029</t>
  </si>
  <si>
    <t>3033</t>
  </si>
  <si>
    <t>3042</t>
  </si>
  <si>
    <t>3060</t>
  </si>
  <si>
    <t>3168</t>
  </si>
  <si>
    <t>3105</t>
  </si>
  <si>
    <t>3114</t>
  </si>
  <si>
    <t>3119</t>
  </si>
  <si>
    <t>3141</t>
  </si>
  <si>
    <t>3150</t>
  </si>
  <si>
    <t>3154</t>
  </si>
  <si>
    <t>3186</t>
  </si>
  <si>
    <t>3204</t>
  </si>
  <si>
    <t>3231</t>
  </si>
  <si>
    <t>3312</t>
  </si>
  <si>
    <t>3330</t>
  </si>
  <si>
    <t>3348</t>
  </si>
  <si>
    <t>3375</t>
  </si>
  <si>
    <t>3420</t>
  </si>
  <si>
    <t>3465</t>
  </si>
  <si>
    <t>3537</t>
  </si>
  <si>
    <t>3555</t>
  </si>
  <si>
    <t>3600</t>
  </si>
  <si>
    <t>3609</t>
  </si>
  <si>
    <t>3645</t>
  </si>
  <si>
    <t>3715</t>
  </si>
  <si>
    <t>3744</t>
  </si>
  <si>
    <t>3798</t>
  </si>
  <si>
    <t>3816</t>
  </si>
  <si>
    <t>3841</t>
  </si>
  <si>
    <t>3906</t>
  </si>
  <si>
    <t>3942</t>
  </si>
  <si>
    <t>4023</t>
  </si>
  <si>
    <t>4033</t>
  </si>
  <si>
    <t>4041</t>
  </si>
  <si>
    <t>4043</t>
  </si>
  <si>
    <t>4068</t>
  </si>
  <si>
    <t>4086</t>
  </si>
  <si>
    <t>4104</t>
  </si>
  <si>
    <t>4122</t>
  </si>
  <si>
    <t>4131</t>
  </si>
  <si>
    <t>4203</t>
  </si>
  <si>
    <t>4212</t>
  </si>
  <si>
    <t>4419</t>
  </si>
  <si>
    <t>4271</t>
  </si>
  <si>
    <t>4269</t>
  </si>
  <si>
    <t>4356</t>
  </si>
  <si>
    <t>4149</t>
  </si>
  <si>
    <t>4437</t>
  </si>
  <si>
    <t>4446</t>
  </si>
  <si>
    <t>4491</t>
  </si>
  <si>
    <t>4505</t>
  </si>
  <si>
    <t>4509</t>
  </si>
  <si>
    <t>4518</t>
  </si>
  <si>
    <t>4527</t>
  </si>
  <si>
    <t>4536</t>
  </si>
  <si>
    <t>4554</t>
  </si>
  <si>
    <t>4572</t>
  </si>
  <si>
    <t>4581</t>
  </si>
  <si>
    <t>4599</t>
  </si>
  <si>
    <t>4617</t>
  </si>
  <si>
    <t>4662</t>
  </si>
  <si>
    <t>4689</t>
  </si>
  <si>
    <t>4644</t>
  </si>
  <si>
    <t>4725</t>
  </si>
  <si>
    <t>2673</t>
  </si>
  <si>
    <t>0153</t>
  </si>
  <si>
    <t>3691</t>
  </si>
  <si>
    <t>4774</t>
  </si>
  <si>
    <t>0873</t>
  </si>
  <si>
    <t>4778</t>
  </si>
  <si>
    <t>4777</t>
  </si>
  <si>
    <t>4776</t>
  </si>
  <si>
    <t>4779</t>
  </si>
  <si>
    <t>4784</t>
  </si>
  <si>
    <t>4785</t>
  </si>
  <si>
    <t>0333</t>
  </si>
  <si>
    <t>4773</t>
  </si>
  <si>
    <t>4788</t>
  </si>
  <si>
    <t>4797</t>
  </si>
  <si>
    <t>4860</t>
  </si>
  <si>
    <t>4869</t>
  </si>
  <si>
    <t>4878</t>
  </si>
  <si>
    <t>4890</t>
  </si>
  <si>
    <t>4905</t>
  </si>
  <si>
    <t>4978</t>
  </si>
  <si>
    <t>4995</t>
  </si>
  <si>
    <t>5013</t>
  </si>
  <si>
    <t>5049</t>
  </si>
  <si>
    <t>5121</t>
  </si>
  <si>
    <t>5139</t>
  </si>
  <si>
    <t>5319</t>
  </si>
  <si>
    <t>5163</t>
  </si>
  <si>
    <t>5166</t>
  </si>
  <si>
    <t>5184</t>
  </si>
  <si>
    <t>5250</t>
  </si>
  <si>
    <t>5256</t>
  </si>
  <si>
    <t>5283</t>
  </si>
  <si>
    <t>5310</t>
  </si>
  <si>
    <t>5463</t>
  </si>
  <si>
    <t>5486</t>
  </si>
  <si>
    <t>5508</t>
  </si>
  <si>
    <t>1975</t>
  </si>
  <si>
    <t>4824</t>
  </si>
  <si>
    <t>5607</t>
  </si>
  <si>
    <t>5643</t>
  </si>
  <si>
    <t>5697</t>
  </si>
  <si>
    <t>5724</t>
  </si>
  <si>
    <t>5805</t>
  </si>
  <si>
    <t>5823</t>
  </si>
  <si>
    <t>5832</t>
  </si>
  <si>
    <t>5877</t>
  </si>
  <si>
    <t>5895</t>
  </si>
  <si>
    <t>5949</t>
  </si>
  <si>
    <t>5976</t>
  </si>
  <si>
    <t>5994</t>
  </si>
  <si>
    <t>6003</t>
  </si>
  <si>
    <t>6012</t>
  </si>
  <si>
    <t>6030</t>
  </si>
  <si>
    <t>6048</t>
  </si>
  <si>
    <t>6039</t>
  </si>
  <si>
    <t>6093</t>
  </si>
  <si>
    <t>6091</t>
  </si>
  <si>
    <t>6095</t>
  </si>
  <si>
    <t>5157</t>
  </si>
  <si>
    <t>6097</t>
  </si>
  <si>
    <t>6098</t>
  </si>
  <si>
    <t>6100</t>
  </si>
  <si>
    <t>6101</t>
  </si>
  <si>
    <t>6096</t>
  </si>
  <si>
    <t>6094</t>
  </si>
  <si>
    <t>6102</t>
  </si>
  <si>
    <t>6120</t>
  </si>
  <si>
    <t>6138</t>
  </si>
  <si>
    <t>5751</t>
  </si>
  <si>
    <t>6165</t>
  </si>
  <si>
    <t>6175</t>
  </si>
  <si>
    <t>6219</t>
  </si>
  <si>
    <t>6246</t>
  </si>
  <si>
    <t>6273</t>
  </si>
  <si>
    <t>6408</t>
  </si>
  <si>
    <t>6453</t>
  </si>
  <si>
    <t>6460</t>
  </si>
  <si>
    <t>6462</t>
  </si>
  <si>
    <t>6471</t>
  </si>
  <si>
    <t>6509</t>
  </si>
  <si>
    <t>6512</t>
  </si>
  <si>
    <t>6516</t>
  </si>
  <si>
    <t>6534</t>
  </si>
  <si>
    <t>1935</t>
  </si>
  <si>
    <t>6561</t>
  </si>
  <si>
    <t>6579</t>
  </si>
  <si>
    <t>6592</t>
  </si>
  <si>
    <t>6615</t>
  </si>
  <si>
    <t>6651</t>
  </si>
  <si>
    <t>6660</t>
  </si>
  <si>
    <t>6700</t>
  </si>
  <si>
    <t>6759</t>
  </si>
  <si>
    <t>6762</t>
  </si>
  <si>
    <t>6768</t>
  </si>
  <si>
    <t>6795</t>
  </si>
  <si>
    <t>6822</t>
  </si>
  <si>
    <t>6840</t>
  </si>
  <si>
    <t>6854</t>
  </si>
  <si>
    <t>6867</t>
  </si>
  <si>
    <t>6921</t>
  </si>
  <si>
    <t>6930</t>
  </si>
  <si>
    <t>6937</t>
  </si>
  <si>
    <t>6943</t>
  </si>
  <si>
    <t>6264</t>
  </si>
  <si>
    <t>6950</t>
  </si>
  <si>
    <t>6957</t>
  </si>
  <si>
    <t>5922</t>
  </si>
  <si>
    <t>0819</t>
  </si>
  <si>
    <t>6969</t>
  </si>
  <si>
    <t>6975</t>
  </si>
  <si>
    <t>6983</t>
  </si>
  <si>
    <t>6985</t>
  </si>
  <si>
    <t>6987</t>
  </si>
  <si>
    <t>6990</t>
  </si>
  <si>
    <t>6961</t>
  </si>
  <si>
    <t>6992</t>
  </si>
  <si>
    <t>7002</t>
  </si>
  <si>
    <t>7029</t>
  </si>
  <si>
    <t>7038</t>
  </si>
  <si>
    <t>7047</t>
  </si>
  <si>
    <t>7056</t>
  </si>
  <si>
    <t>7092</t>
  </si>
  <si>
    <t>7098</t>
  </si>
  <si>
    <t>7110</t>
  </si>
  <si>
    <t>Propery Tax Portion</t>
  </si>
  <si>
    <t>State Aid Portion
Amount Taxe From State Aid Portion Special Ed (Column D)</t>
  </si>
  <si>
    <t>Property Tax Portion Amount to take from Special Ed Property Tax Portion (Column G)</t>
  </si>
  <si>
    <t>Payment Coding Detail Check</t>
  </si>
  <si>
    <t>State Aid Portion
Amount Taken From State Aid Portion Special Ed (Column D)</t>
  </si>
  <si>
    <t>Budget Enrollment</t>
  </si>
  <si>
    <t>Teach Sal Cost PP</t>
  </si>
  <si>
    <t>Spec ED Support</t>
  </si>
  <si>
    <t>Spec Ed Adjust</t>
  </si>
  <si>
    <t>Special Ed Total Cost</t>
  </si>
  <si>
    <t>Media Services</t>
  </si>
  <si>
    <t>Education Services</t>
  </si>
  <si>
    <t>Sharing Operations</t>
  </si>
  <si>
    <t>Teacher Salary Supplement</t>
  </si>
  <si>
    <t>Subtotal Budget</t>
  </si>
  <si>
    <t>Prorata Reduction</t>
  </si>
  <si>
    <t xml:space="preserve">State Aid  </t>
  </si>
  <si>
    <t xml:space="preserve">Property Tax  </t>
  </si>
  <si>
    <t>Total Special Ed Weighting in Addition to 1.0</t>
  </si>
  <si>
    <t>AEA Weighted Enrollment</t>
  </si>
  <si>
    <t>Resident Accredited Nonpublic Students</t>
  </si>
  <si>
    <t>Shared-Time Nonpublic Pupils Counted in Line 1.1</t>
  </si>
  <si>
    <t>Total Enrollment Served - AEA Media and Ed Services</t>
  </si>
  <si>
    <t>AEA Special Ed Support Cost Per Pupil</t>
  </si>
  <si>
    <t>AEA Media Cost Per Pupil</t>
  </si>
  <si>
    <t>AEA Ed Services Cost Per Pupil</t>
  </si>
  <si>
    <t>Check Against Final AEA Mounts</t>
  </si>
  <si>
    <t>Pasted Values in From Final AEA Cost Detail Summary For Fiscal Year</t>
  </si>
  <si>
    <t>State Aid and Property Tax Amounts Distributed Correctly</t>
  </si>
  <si>
    <t>September to May Monthy Amounts Distributed Correctly</t>
  </si>
  <si>
    <t>June Amounts Distributed Correctly</t>
  </si>
  <si>
    <t>These amounts ere not zero so took the amounts hear and added or took away from State Aid Portion Special Ed</t>
  </si>
  <si>
    <t>Aid and Levy Line 16.11 vs. Total</t>
  </si>
  <si>
    <t>AEA_DE</t>
  </si>
  <si>
    <t>Pay 1 - Sept - May</t>
  </si>
  <si>
    <t>Should equal 0 - ON Final Payment</t>
  </si>
  <si>
    <t>Should equal 0 - Sept - May</t>
  </si>
  <si>
    <t>AEA Media Services Nonpublic Portion</t>
  </si>
  <si>
    <t>AEA Educational Services Nonpublic Portion</t>
  </si>
  <si>
    <t>Total AEA Payment</t>
  </si>
  <si>
    <t>AEA Payment State Aid Portion</t>
  </si>
  <si>
    <t>AEA Payment Property Tax Portion</t>
  </si>
  <si>
    <t xml:space="preserve">State Aid Portion
</t>
  </si>
  <si>
    <t>Added or removed dollars from Sharing on both of these</t>
  </si>
  <si>
    <t>Sharing</t>
  </si>
  <si>
    <t>Total Individually</t>
  </si>
  <si>
    <t>Total of Totals</t>
  </si>
  <si>
    <t>Total</t>
  </si>
  <si>
    <t>June Payments total Correctly to Payment File</t>
  </si>
  <si>
    <t>Sept to May Payments total Correctly to Payment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</si>
</sst>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sz val="8"/>
      <color theme="1"/>
      <name val="Courier New"/>
      <family val="2"/>
    </font>
    <font>
      <sz val="8"/>
      <color theme="0"/>
      <name val="Courier New"/>
      <family val="2"/>
    </font>
    <font>
      <sz val="8"/>
      <color rgb="FF9C0006"/>
      <name val="Courier New"/>
      <family val="2"/>
    </font>
    <font>
      <b/>
      <sz val="8"/>
      <color rgb="FFFA7D00"/>
      <name val="Courier New"/>
      <family val="2"/>
    </font>
    <font>
      <b/>
      <sz val="8"/>
      <color theme="0"/>
      <name val="Courier New"/>
      <family val="2"/>
    </font>
    <font>
      <i/>
      <sz val="8"/>
      <color rgb="FF7F7F7F"/>
      <name val="Courier New"/>
      <family val="2"/>
    </font>
    <font>
      <sz val="8"/>
      <color rgb="FF006100"/>
      <name val="Courier New"/>
      <family val="2"/>
    </font>
    <font>
      <b/>
      <sz val="15"/>
      <color theme="3"/>
      <name val="Courier New"/>
      <family val="2"/>
    </font>
    <font>
      <b/>
      <sz val="13"/>
      <color theme="3"/>
      <name val="Courier New"/>
      <family val="2"/>
    </font>
    <font>
      <b/>
      <sz val="11"/>
      <color theme="3"/>
      <name val="Courier New"/>
      <family val="2"/>
    </font>
    <font>
      <sz val="8"/>
      <color rgb="FF3F3F76"/>
      <name val="Courier New"/>
      <family val="2"/>
    </font>
    <font>
      <sz val="8"/>
      <color rgb="FFFA7D00"/>
      <name val="Courier New"/>
      <family val="2"/>
    </font>
    <font>
      <sz val="8"/>
      <color rgb="FF9C6500"/>
      <name val="Courier New"/>
      <family val="2"/>
    </font>
    <font>
      <b/>
      <sz val="8"/>
      <color rgb="FF3F3F3F"/>
      <name val="Courier New"/>
      <family val="2"/>
    </font>
    <font>
      <b/>
      <sz val="8"/>
      <color theme="1"/>
      <name val="Courier New"/>
      <family val="2"/>
    </font>
    <font>
      <sz val="8"/>
      <color rgb="FFFF0000"/>
      <name val="Courier New"/>
      <family val="2"/>
    </font>
    <font>
      <sz val="11"/>
      <name val="Calibri"/>
      <family val="2"/>
    </font>
    <font>
      <b/>
      <sz val="16"/>
      <color theme="1"/>
      <name val="Calibri"/>
      <family val="2"/>
      <scheme val="minor"/>
    </font>
    <font>
      <b/>
      <sz val="14"/>
      <color theme="1"/>
      <name val="Calibri"/>
      <family val="2"/>
      <scheme val="minor"/>
    </font>
    <font>
      <b/>
      <sz val="11"/>
      <name val="Calibri"/>
      <family val="2"/>
      <scheme val="minor"/>
    </font>
    <font>
      <b/>
      <sz val="12"/>
      <color indexed="81"/>
      <name val="Tahoma"/>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9" tint="0.59999389629810485"/>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s>
  <cellStyleXfs count="8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6" fillId="0" borderId="1" applyNumberFormat="0" applyFill="0" applyAlignment="0" applyProtection="0"/>
    <xf numFmtId="0" fontId="25" fillId="2" borderId="0" applyNumberFormat="0" applyBorder="0" applyAlignment="0" applyProtection="0"/>
    <xf numFmtId="0" fontId="24" fillId="0" borderId="0" applyNumberFormat="0" applyFill="0" applyBorder="0" applyAlignment="0" applyProtection="0"/>
    <xf numFmtId="0" fontId="23" fillId="7" borderId="7" applyNumberFormat="0" applyAlignment="0" applyProtection="0"/>
    <xf numFmtId="0" fontId="22" fillId="6" borderId="4" applyNumberFormat="0" applyAlignment="0" applyProtection="0"/>
    <xf numFmtId="0" fontId="21" fillId="3" borderId="0" applyNumberFormat="0" applyBorder="0" applyAlignment="0" applyProtection="0"/>
    <xf numFmtId="0" fontId="20" fillId="29" borderId="0" applyNumberFormat="0" applyBorder="0" applyAlignment="0" applyProtection="0"/>
    <xf numFmtId="0" fontId="20" fillId="25" borderId="0" applyNumberFormat="0" applyBorder="0" applyAlignment="0" applyProtection="0"/>
    <xf numFmtId="0" fontId="20" fillId="21" borderId="0" applyNumberFormat="0" applyBorder="0" applyAlignment="0" applyProtection="0"/>
    <xf numFmtId="0" fontId="20" fillId="17" borderId="0" applyNumberFormat="0" applyBorder="0" applyAlignment="0" applyProtection="0"/>
    <xf numFmtId="0" fontId="20" fillId="13" borderId="0" applyNumberFormat="0" applyBorder="0" applyAlignment="0" applyProtection="0"/>
    <xf numFmtId="0" fontId="20" fillId="9" borderId="0" applyNumberFormat="0" applyBorder="0" applyAlignment="0" applyProtection="0"/>
    <xf numFmtId="0" fontId="20" fillId="32" borderId="0" applyNumberFormat="0" applyBorder="0" applyAlignment="0" applyProtection="0"/>
    <xf numFmtId="0" fontId="20" fillId="28" borderId="0" applyNumberFormat="0" applyBorder="0" applyAlignment="0" applyProtection="0"/>
    <xf numFmtId="0" fontId="20" fillId="24" borderId="0" applyNumberFormat="0" applyBorder="0" applyAlignment="0" applyProtection="0"/>
    <xf numFmtId="0" fontId="20" fillId="20" borderId="0" applyNumberFormat="0" applyBorder="0" applyAlignment="0" applyProtection="0"/>
    <xf numFmtId="0" fontId="20" fillId="16" borderId="0" applyNumberFormat="0" applyBorder="0" applyAlignment="0" applyProtection="0"/>
    <xf numFmtId="0" fontId="20" fillId="12" borderId="0" applyNumberFormat="0" applyBorder="0" applyAlignment="0" applyProtection="0"/>
    <xf numFmtId="0" fontId="19" fillId="31" borderId="0" applyNumberFormat="0" applyBorder="0" applyAlignment="0" applyProtection="0"/>
    <xf numFmtId="0" fontId="19" fillId="27" borderId="0" applyNumberFormat="0" applyBorder="0" applyAlignment="0" applyProtection="0"/>
    <xf numFmtId="0" fontId="19" fillId="23" borderId="0" applyNumberFormat="0" applyBorder="0" applyAlignment="0" applyProtection="0"/>
    <xf numFmtId="0" fontId="19" fillId="19" borderId="0" applyNumberFormat="0" applyBorder="0" applyAlignment="0" applyProtection="0"/>
    <xf numFmtId="0" fontId="19" fillId="15" borderId="0" applyNumberFormat="0" applyBorder="0" applyAlignment="0" applyProtection="0"/>
    <xf numFmtId="0" fontId="19" fillId="11" borderId="0" applyNumberFormat="0" applyBorder="0" applyAlignment="0" applyProtection="0"/>
    <xf numFmtId="0" fontId="19" fillId="30" borderId="0" applyNumberFormat="0" applyBorder="0" applyAlignment="0" applyProtection="0"/>
    <xf numFmtId="0" fontId="19" fillId="26" borderId="0" applyNumberFormat="0" applyBorder="0" applyAlignment="0" applyProtection="0"/>
    <xf numFmtId="0" fontId="19" fillId="22" borderId="0" applyNumberFormat="0" applyBorder="0" applyAlignment="0" applyProtection="0"/>
    <xf numFmtId="0" fontId="19" fillId="18" borderId="0" applyNumberFormat="0" applyBorder="0" applyAlignment="0" applyProtection="0"/>
    <xf numFmtId="0" fontId="19" fillId="14" borderId="0" applyNumberFormat="0" applyBorder="0" applyAlignment="0" applyProtection="0"/>
    <xf numFmtId="0" fontId="19" fillId="10" borderId="0" applyNumberFormat="0" applyBorder="0" applyAlignment="0" applyProtection="0"/>
    <xf numFmtId="0" fontId="19" fillId="0" borderId="0"/>
    <xf numFmtId="0" fontId="27"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9" fillId="5" borderId="4" applyNumberFormat="0" applyAlignment="0" applyProtection="0"/>
    <xf numFmtId="0" fontId="30" fillId="0" borderId="6" applyNumberFormat="0" applyFill="0" applyAlignment="0" applyProtection="0"/>
    <xf numFmtId="0" fontId="31" fillId="4" borderId="0" applyNumberFormat="0" applyBorder="0" applyAlignment="0" applyProtection="0"/>
    <xf numFmtId="0" fontId="19" fillId="8" borderId="8" applyNumberFormat="0" applyFont="0" applyAlignment="0" applyProtection="0"/>
    <xf numFmtId="0" fontId="32" fillId="6" borderId="5" applyNumberFormat="0" applyAlignment="0" applyProtection="0"/>
    <xf numFmtId="0" fontId="33" fillId="0" borderId="9" applyNumberFormat="0" applyFill="0" applyAlignment="0" applyProtection="0"/>
    <xf numFmtId="0" fontId="34" fillId="0" borderId="0" applyNumberFormat="0" applyFill="0" applyBorder="0" applyAlignment="0" applyProtection="0"/>
    <xf numFmtId="0" fontId="35" fillId="0" borderId="0"/>
  </cellStyleXfs>
  <cellXfs count="74">
    <xf numFmtId="0" fontId="0" fillId="0" borderId="0" xfId="0"/>
    <xf numFmtId="49" fontId="0" fillId="0" borderId="0" xfId="0" applyNumberFormat="1"/>
    <xf numFmtId="0" fontId="19" fillId="0" borderId="0" xfId="72"/>
    <xf numFmtId="0" fontId="18" fillId="0" borderId="0" xfId="72" applyFont="1"/>
    <xf numFmtId="0" fontId="18" fillId="33" borderId="0" xfId="72" applyFont="1" applyFill="1"/>
    <xf numFmtId="0" fontId="18" fillId="0" borderId="0" xfId="72" applyFont="1" applyAlignment="1">
      <alignment horizontal="center"/>
    </xf>
    <xf numFmtId="3" fontId="0" fillId="0" borderId="0" xfId="0" applyNumberFormat="1"/>
    <xf numFmtId="0" fontId="16" fillId="0" borderId="11" xfId="0" applyFont="1" applyBorder="1" applyAlignment="1">
      <alignment wrapText="1"/>
    </xf>
    <xf numFmtId="0" fontId="16" fillId="0" borderId="11" xfId="0" applyFont="1" applyBorder="1" applyAlignment="1">
      <alignment horizontal="center" wrapText="1"/>
    </xf>
    <xf numFmtId="0" fontId="16" fillId="36" borderId="11" xfId="0" applyFont="1" applyFill="1" applyBorder="1" applyAlignment="1">
      <alignment horizontal="center" wrapText="1"/>
    </xf>
    <xf numFmtId="0" fontId="0" fillId="0" borderId="0" xfId="0" applyAlignment="1">
      <alignment wrapText="1"/>
    </xf>
    <xf numFmtId="0" fontId="0" fillId="0" borderId="11" xfId="0" applyBorder="1"/>
    <xf numFmtId="3" fontId="0" fillId="0" borderId="11" xfId="0" quotePrefix="1" applyNumberFormat="1" applyBorder="1"/>
    <xf numFmtId="3" fontId="0" fillId="0" borderId="13" xfId="0" applyNumberFormat="1" applyBorder="1"/>
    <xf numFmtId="3" fontId="0" fillId="35" borderId="13" xfId="0" applyNumberFormat="1" applyFill="1" applyBorder="1"/>
    <xf numFmtId="3" fontId="0" fillId="36" borderId="13" xfId="0" applyNumberFormat="1" applyFill="1" applyBorder="1"/>
    <xf numFmtId="3" fontId="16" fillId="0" borderId="13" xfId="0" applyNumberFormat="1" applyFont="1" applyBorder="1"/>
    <xf numFmtId="0" fontId="16" fillId="0" borderId="11" xfId="0" applyFont="1" applyBorder="1"/>
    <xf numFmtId="49" fontId="0" fillId="0" borderId="11" xfId="0" applyNumberFormat="1" applyBorder="1"/>
    <xf numFmtId="3" fontId="0" fillId="36" borderId="11" xfId="0" quotePrefix="1" applyNumberFormat="1" applyFill="1" applyBorder="1"/>
    <xf numFmtId="3" fontId="16" fillId="36" borderId="13" xfId="0" applyNumberFormat="1" applyFont="1" applyFill="1" applyBorder="1"/>
    <xf numFmtId="0" fontId="16" fillId="37" borderId="11" xfId="0" applyFont="1" applyFill="1" applyBorder="1" applyAlignment="1">
      <alignment horizontal="center" wrapText="1"/>
    </xf>
    <xf numFmtId="3" fontId="0" fillId="37" borderId="11" xfId="0" quotePrefix="1" applyNumberFormat="1" applyFill="1" applyBorder="1"/>
    <xf numFmtId="3" fontId="0" fillId="37" borderId="13" xfId="0" applyNumberFormat="1" applyFill="1" applyBorder="1"/>
    <xf numFmtId="3" fontId="0" fillId="0" borderId="11" xfId="0" applyNumberFormat="1" applyBorder="1" applyProtection="1">
      <protection hidden="1"/>
    </xf>
    <xf numFmtId="0" fontId="0" fillId="34" borderId="0" xfId="0" applyFill="1" applyAlignment="1">
      <alignment wrapText="1"/>
    </xf>
    <xf numFmtId="0" fontId="16" fillId="0" borderId="12" xfId="0" applyFont="1" applyBorder="1" applyAlignment="1">
      <alignment horizontal="center" wrapText="1"/>
    </xf>
    <xf numFmtId="4" fontId="0" fillId="0" borderId="0" xfId="0" applyNumberFormat="1"/>
    <xf numFmtId="3" fontId="0" fillId="0" borderId="10" xfId="0" applyNumberFormat="1" applyBorder="1"/>
    <xf numFmtId="0" fontId="0" fillId="34" borderId="0" xfId="0" applyFill="1"/>
    <xf numFmtId="0" fontId="16" fillId="0" borderId="12" xfId="0" applyFont="1" applyBorder="1"/>
    <xf numFmtId="0" fontId="0" fillId="0" borderId="0" xfId="0" applyAlignment="1">
      <alignment horizontal="center" wrapText="1"/>
    </xf>
    <xf numFmtId="0" fontId="16" fillId="0" borderId="0" xfId="0" applyFont="1" applyAlignment="1">
      <alignment horizontal="center" wrapText="1"/>
    </xf>
    <xf numFmtId="0" fontId="16" fillId="38" borderId="11" xfId="0" applyFont="1" applyFill="1" applyBorder="1" applyAlignment="1">
      <alignment horizontal="center" wrapText="1"/>
    </xf>
    <xf numFmtId="3" fontId="0" fillId="38" borderId="11" xfId="0" quotePrefix="1" applyNumberFormat="1" applyFill="1" applyBorder="1"/>
    <xf numFmtId="3" fontId="0" fillId="38" borderId="13" xfId="0" applyNumberFormat="1" applyFill="1" applyBorder="1"/>
    <xf numFmtId="3" fontId="16" fillId="38" borderId="13" xfId="0" applyNumberFormat="1" applyFont="1" applyFill="1" applyBorder="1"/>
    <xf numFmtId="3" fontId="16" fillId="37" borderId="13" xfId="0" applyNumberFormat="1" applyFont="1" applyFill="1" applyBorder="1"/>
    <xf numFmtId="164" fontId="0" fillId="0" borderId="0" xfId="0" applyNumberFormat="1" applyProtection="1">
      <protection hidden="1"/>
    </xf>
    <xf numFmtId="0" fontId="0" fillId="0" borderId="0" xfId="0" applyProtection="1">
      <protection hidden="1"/>
    </xf>
    <xf numFmtId="3" fontId="38" fillId="0" borderId="11" xfId="0" applyNumberFormat="1" applyFont="1" applyBorder="1" applyAlignment="1" applyProtection="1">
      <alignment horizontal="center" vertical="center" wrapText="1"/>
      <protection hidden="1"/>
    </xf>
    <xf numFmtId="164" fontId="0" fillId="34" borderId="0" xfId="0" applyNumberFormat="1" applyFill="1" applyProtection="1">
      <protection hidden="1"/>
    </xf>
    <xf numFmtId="0" fontId="0" fillId="34" borderId="0" xfId="0" applyFill="1" applyProtection="1">
      <protection hidden="1"/>
    </xf>
    <xf numFmtId="3" fontId="38" fillId="34" borderId="0" xfId="0" applyNumberFormat="1" applyFont="1" applyFill="1" applyAlignment="1" applyProtection="1">
      <alignment horizontal="center" vertical="center"/>
      <protection hidden="1"/>
    </xf>
    <xf numFmtId="49" fontId="0" fillId="0" borderId="11" xfId="0" applyNumberFormat="1" applyBorder="1" applyProtection="1">
      <protection hidden="1"/>
    </xf>
    <xf numFmtId="0" fontId="0" fillId="0" borderId="11" xfId="0" applyBorder="1" applyProtection="1">
      <protection hidden="1"/>
    </xf>
    <xf numFmtId="3" fontId="16" fillId="35" borderId="13" xfId="0" applyNumberFormat="1" applyFont="1" applyFill="1" applyBorder="1"/>
    <xf numFmtId="3" fontId="16" fillId="0" borderId="11" xfId="0" quotePrefix="1" applyNumberFormat="1" applyFont="1" applyBorder="1"/>
    <xf numFmtId="3" fontId="16" fillId="37" borderId="11" xfId="0" quotePrefix="1" applyNumberFormat="1" applyFont="1" applyFill="1" applyBorder="1"/>
    <xf numFmtId="3" fontId="16" fillId="0" borderId="11" xfId="0" applyNumberFormat="1" applyFont="1" applyBorder="1" applyProtection="1">
      <protection hidden="1"/>
    </xf>
    <xf numFmtId="3" fontId="16" fillId="36" borderId="11" xfId="0" quotePrefix="1" applyNumberFormat="1" applyFont="1" applyFill="1" applyBorder="1"/>
    <xf numFmtId="3" fontId="16" fillId="0" borderId="13" xfId="0" applyNumberFormat="1" applyFont="1" applyBorder="1" applyProtection="1">
      <protection hidden="1"/>
    </xf>
    <xf numFmtId="3" fontId="16" fillId="0" borderId="10" xfId="0" applyNumberFormat="1" applyFont="1" applyBorder="1"/>
    <xf numFmtId="3" fontId="16" fillId="37" borderId="14" xfId="0" quotePrefix="1" applyNumberFormat="1" applyFont="1" applyFill="1" applyBorder="1"/>
    <xf numFmtId="3" fontId="16" fillId="36" borderId="15" xfId="0" quotePrefix="1" applyNumberFormat="1" applyFont="1" applyFill="1" applyBorder="1"/>
    <xf numFmtId="3" fontId="16" fillId="36" borderId="10" xfId="0" quotePrefix="1" applyNumberFormat="1" applyFont="1" applyFill="1" applyBorder="1"/>
    <xf numFmtId="3" fontId="16" fillId="37" borderId="15" xfId="0" quotePrefix="1" applyNumberFormat="1" applyFont="1" applyFill="1" applyBorder="1"/>
    <xf numFmtId="3" fontId="16" fillId="37" borderId="10" xfId="0" quotePrefix="1" applyNumberFormat="1" applyFont="1" applyFill="1" applyBorder="1"/>
    <xf numFmtId="0" fontId="37" fillId="33" borderId="0" xfId="72" applyFont="1" applyFill="1" applyAlignment="1" applyProtection="1">
      <alignment horizontal="center" vertical="center"/>
      <protection locked="0"/>
    </xf>
    <xf numFmtId="0" fontId="0" fillId="33" borderId="0" xfId="0" applyFill="1"/>
    <xf numFmtId="3" fontId="0" fillId="0" borderId="0" xfId="0" quotePrefix="1" applyNumberFormat="1"/>
    <xf numFmtId="3" fontId="16" fillId="0" borderId="0" xfId="0" applyNumberFormat="1" applyFont="1"/>
    <xf numFmtId="3" fontId="0" fillId="0" borderId="0" xfId="0" applyNumberFormat="1" applyAlignment="1">
      <alignment horizontal="center" wrapText="1"/>
    </xf>
    <xf numFmtId="49" fontId="0" fillId="0" borderId="0" xfId="0" quotePrefix="1" applyNumberFormat="1"/>
    <xf numFmtId="0" fontId="38"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6" fillId="0" borderId="12" xfId="0" applyFont="1" applyBorder="1" applyAlignment="1">
      <alignment horizontal="center" vertical="center"/>
    </xf>
    <xf numFmtId="0" fontId="16" fillId="37" borderId="11" xfId="0" applyFont="1" applyFill="1" applyBorder="1" applyAlignment="1">
      <alignment horizontal="center" vertical="center"/>
    </xf>
    <xf numFmtId="0" fontId="16" fillId="36" borderId="11" xfId="0" applyFont="1" applyFill="1" applyBorder="1" applyAlignment="1">
      <alignment horizontal="center" vertical="center"/>
    </xf>
    <xf numFmtId="0" fontId="16" fillId="37" borderId="0" xfId="0" applyFont="1" applyFill="1" applyAlignment="1">
      <alignment horizontal="center" wrapText="1"/>
    </xf>
    <xf numFmtId="0" fontId="16" fillId="37" borderId="12" xfId="0" applyFont="1" applyFill="1" applyBorder="1" applyAlignment="1">
      <alignment horizontal="center" wrapText="1"/>
    </xf>
    <xf numFmtId="0" fontId="16" fillId="36" borderId="0" xfId="0" applyFont="1" applyFill="1" applyAlignment="1">
      <alignment horizontal="center" wrapText="1"/>
    </xf>
    <xf numFmtId="0" fontId="16" fillId="36" borderId="12" xfId="0" applyFont="1" applyFill="1" applyBorder="1" applyAlignment="1">
      <alignment horizontal="center" wrapText="1"/>
    </xf>
    <xf numFmtId="0" fontId="37" fillId="0" borderId="0" xfId="0" applyFont="1" applyAlignment="1">
      <alignment horizontal="center" vertical="center"/>
    </xf>
  </cellXfs>
  <cellStyles count="84">
    <cellStyle name="20% - Accent1" xfId="19" builtinId="30" customBuiltin="1"/>
    <cellStyle name="20% - Accent1 2" xfId="71" xr:uid="{00000000-0005-0000-0000-000001000000}"/>
    <cellStyle name="20% - Accent2" xfId="23" builtinId="34" customBuiltin="1"/>
    <cellStyle name="20% - Accent2 2" xfId="70" xr:uid="{00000000-0005-0000-0000-000003000000}"/>
    <cellStyle name="20% - Accent3" xfId="27" builtinId="38" customBuiltin="1"/>
    <cellStyle name="20% - Accent3 2" xfId="69" xr:uid="{00000000-0005-0000-0000-000005000000}"/>
    <cellStyle name="20% - Accent4" xfId="31" builtinId="42" customBuiltin="1"/>
    <cellStyle name="20% - Accent4 2" xfId="68" xr:uid="{00000000-0005-0000-0000-000007000000}"/>
    <cellStyle name="20% - Accent5" xfId="35" builtinId="46" customBuiltin="1"/>
    <cellStyle name="20% - Accent5 2" xfId="67" xr:uid="{00000000-0005-0000-0000-000009000000}"/>
    <cellStyle name="20% - Accent6" xfId="39" builtinId="50" customBuiltin="1"/>
    <cellStyle name="20% - Accent6 2" xfId="66" xr:uid="{00000000-0005-0000-0000-00000B000000}"/>
    <cellStyle name="40% - Accent1" xfId="20" builtinId="31" customBuiltin="1"/>
    <cellStyle name="40% - Accent1 2" xfId="65" xr:uid="{00000000-0005-0000-0000-00000D000000}"/>
    <cellStyle name="40% - Accent2" xfId="24" builtinId="35" customBuiltin="1"/>
    <cellStyle name="40% - Accent2 2" xfId="64" xr:uid="{00000000-0005-0000-0000-00000F000000}"/>
    <cellStyle name="40% - Accent3" xfId="28" builtinId="39" customBuiltin="1"/>
    <cellStyle name="40% - Accent3 2" xfId="63" xr:uid="{00000000-0005-0000-0000-000011000000}"/>
    <cellStyle name="40% - Accent4" xfId="32" builtinId="43" customBuiltin="1"/>
    <cellStyle name="40% - Accent4 2" xfId="62" xr:uid="{00000000-0005-0000-0000-000013000000}"/>
    <cellStyle name="40% - Accent5" xfId="36" builtinId="47" customBuiltin="1"/>
    <cellStyle name="40% - Accent5 2" xfId="61" xr:uid="{00000000-0005-0000-0000-000015000000}"/>
    <cellStyle name="40% - Accent6" xfId="40" builtinId="51" customBuiltin="1"/>
    <cellStyle name="40% - Accent6 2" xfId="60" xr:uid="{00000000-0005-0000-0000-000017000000}"/>
    <cellStyle name="60% - Accent1" xfId="21" builtinId="32" customBuiltin="1"/>
    <cellStyle name="60% - Accent1 2" xfId="59" xr:uid="{00000000-0005-0000-0000-000019000000}"/>
    <cellStyle name="60% - Accent2" xfId="25" builtinId="36" customBuiltin="1"/>
    <cellStyle name="60% - Accent2 2" xfId="58" xr:uid="{00000000-0005-0000-0000-00001B000000}"/>
    <cellStyle name="60% - Accent3" xfId="29" builtinId="40" customBuiltin="1"/>
    <cellStyle name="60% - Accent3 2" xfId="57" xr:uid="{00000000-0005-0000-0000-00001D000000}"/>
    <cellStyle name="60% - Accent4" xfId="33" builtinId="44" customBuiltin="1"/>
    <cellStyle name="60% - Accent4 2" xfId="56" xr:uid="{00000000-0005-0000-0000-00001F000000}"/>
    <cellStyle name="60% - Accent5" xfId="37" builtinId="48" customBuiltin="1"/>
    <cellStyle name="60% - Accent5 2" xfId="55" xr:uid="{00000000-0005-0000-0000-000021000000}"/>
    <cellStyle name="60% - Accent6" xfId="41" builtinId="52" customBuiltin="1"/>
    <cellStyle name="60% - Accent6 2" xfId="54" xr:uid="{00000000-0005-0000-0000-000023000000}"/>
    <cellStyle name="Accent1" xfId="18" builtinId="29" customBuiltin="1"/>
    <cellStyle name="Accent1 2" xfId="53" xr:uid="{00000000-0005-0000-0000-000025000000}"/>
    <cellStyle name="Accent2" xfId="22" builtinId="33" customBuiltin="1"/>
    <cellStyle name="Accent2 2" xfId="52" xr:uid="{00000000-0005-0000-0000-000027000000}"/>
    <cellStyle name="Accent3" xfId="26" builtinId="37" customBuiltin="1"/>
    <cellStyle name="Accent3 2" xfId="51" xr:uid="{00000000-0005-0000-0000-000029000000}"/>
    <cellStyle name="Accent4" xfId="30" builtinId="41" customBuiltin="1"/>
    <cellStyle name="Accent4 2" xfId="50" xr:uid="{00000000-0005-0000-0000-00002B000000}"/>
    <cellStyle name="Accent5" xfId="34" builtinId="45" customBuiltin="1"/>
    <cellStyle name="Accent5 2" xfId="49" xr:uid="{00000000-0005-0000-0000-00002D000000}"/>
    <cellStyle name="Accent6" xfId="38" builtinId="49" customBuiltin="1"/>
    <cellStyle name="Accent6 2" xfId="48" xr:uid="{00000000-0005-0000-0000-00002F000000}"/>
    <cellStyle name="Bad" xfId="7" builtinId="27" customBuiltin="1"/>
    <cellStyle name="Bad 2" xfId="47" xr:uid="{00000000-0005-0000-0000-000031000000}"/>
    <cellStyle name="Calculation" xfId="11" builtinId="22" customBuiltin="1"/>
    <cellStyle name="Calculation 2" xfId="46" xr:uid="{00000000-0005-0000-0000-000033000000}"/>
    <cellStyle name="Check Cell" xfId="13" builtinId="23" customBuiltin="1"/>
    <cellStyle name="Check Cell 2" xfId="45" xr:uid="{00000000-0005-0000-0000-000035000000}"/>
    <cellStyle name="Explanatory Text" xfId="16" builtinId="53" customBuiltin="1"/>
    <cellStyle name="Explanatory Text 2" xfId="44" xr:uid="{00000000-0005-0000-0000-000037000000}"/>
    <cellStyle name="Good" xfId="6" builtinId="26" customBuiltin="1"/>
    <cellStyle name="Good 2" xfId="43" xr:uid="{00000000-0005-0000-0000-000039000000}"/>
    <cellStyle name="Heading 1" xfId="2" builtinId="16" customBuiltin="1"/>
    <cellStyle name="Heading 1 2" xfId="42" xr:uid="{00000000-0005-0000-0000-00003B000000}"/>
    <cellStyle name="Heading 2" xfId="3" builtinId="17" customBuiltin="1"/>
    <cellStyle name="Heading 2 2" xfId="73" xr:uid="{00000000-0005-0000-0000-00003D000000}"/>
    <cellStyle name="Heading 3" xfId="4" builtinId="18" customBuiltin="1"/>
    <cellStyle name="Heading 3 2" xfId="74" xr:uid="{00000000-0005-0000-0000-00003F000000}"/>
    <cellStyle name="Heading 4" xfId="5" builtinId="19" customBuiltin="1"/>
    <cellStyle name="Heading 4 2" xfId="75" xr:uid="{00000000-0005-0000-0000-000041000000}"/>
    <cellStyle name="Input" xfId="9" builtinId="20" customBuiltin="1"/>
    <cellStyle name="Input 2" xfId="76" xr:uid="{00000000-0005-0000-0000-000043000000}"/>
    <cellStyle name="Linked Cell" xfId="12" builtinId="24" customBuiltin="1"/>
    <cellStyle name="Linked Cell 2" xfId="77" xr:uid="{00000000-0005-0000-0000-000045000000}"/>
    <cellStyle name="Neutral" xfId="8" builtinId="28" customBuiltin="1"/>
    <cellStyle name="Neutral 2" xfId="78" xr:uid="{00000000-0005-0000-0000-000047000000}"/>
    <cellStyle name="Normal" xfId="0" builtinId="0"/>
    <cellStyle name="Normal 2" xfId="72" xr:uid="{00000000-0005-0000-0000-000049000000}"/>
    <cellStyle name="Normal 3" xfId="83" xr:uid="{00000000-0005-0000-0000-00004A000000}"/>
    <cellStyle name="Note" xfId="15" builtinId="10" customBuiltin="1"/>
    <cellStyle name="Note 2" xfId="79" xr:uid="{00000000-0005-0000-0000-00004C000000}"/>
    <cellStyle name="Output" xfId="10" builtinId="21" customBuiltin="1"/>
    <cellStyle name="Output 2" xfId="80" xr:uid="{00000000-0005-0000-0000-00004E000000}"/>
    <cellStyle name="Title" xfId="1" builtinId="15" customBuiltin="1"/>
    <cellStyle name="Total" xfId="17" builtinId="25" customBuiltin="1"/>
    <cellStyle name="Total 2" xfId="81" xr:uid="{00000000-0005-0000-0000-000051000000}"/>
    <cellStyle name="Warning Text" xfId="14" builtinId="11" customBuiltin="1"/>
    <cellStyle name="Warning Text 2" xfId="82" xr:uid="{00000000-0005-0000-0000-000053000000}"/>
  </cellStyles>
  <dxfs count="2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0" formatCode="@"/>
    </dxf>
    <dxf>
      <numFmt numFmtId="30" formatCode="@"/>
    </dxf>
    <dxf>
      <numFmt numFmtId="3" formatCode="#,##0"/>
    </dxf>
    <dxf>
      <numFmt numFmtId="3" formatCode="#,##0"/>
    </dxf>
    <dxf>
      <numFmt numFmtId="3" formatCode="#,##0"/>
    </dxf>
    <dxf>
      <numFmt numFmtId="30" formatCode="@"/>
    </dxf>
    <dxf>
      <numFmt numFmtId="30" formatCode="@"/>
    </dxf>
    <dxf>
      <numFmt numFmtId="30" formatCode="@"/>
    </dxf>
    <dxf>
      <numFmt numFmtId="30" formatCode="@"/>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ta" displayName="Data" ref="A1:O10" totalsRowShown="0">
  <autoFilter ref="A1:O10" xr:uid="{00000000-0009-0000-0100-000001000000}"/>
  <tableColumns count="15">
    <tableColumn id="1" xr3:uid="{00000000-0010-0000-0000-000001000000}" name="AEA" dataDxfId="22"/>
    <tableColumn id="2" xr3:uid="{00000000-0010-0000-0000-000002000000}" name="AEA Name" dataDxfId="21"/>
    <tableColumn id="3" xr3:uid="{00000000-0010-0000-0000-000003000000}" name="Original Budget"/>
    <tableColumn id="4" xr3:uid="{00000000-0010-0000-0000-000004000000}" name="Pay1 - Sept - May"/>
    <tableColumn id="5" xr3:uid="{00000000-0010-0000-0000-000005000000}" name="Pay 2 Final"/>
    <tableColumn id="6" xr3:uid="{00000000-0010-0000-0000-000006000000}" name="Paid Thru September"/>
    <tableColumn id="7" xr3:uid="{00000000-0010-0000-0000-000007000000}" name="Paid Thru October"/>
    <tableColumn id="8" xr3:uid="{00000000-0010-0000-0000-000008000000}" name="Paid Thru November"/>
    <tableColumn id="9" xr3:uid="{00000000-0010-0000-0000-000009000000}" name="Paid Thru December"/>
    <tableColumn id="10" xr3:uid="{00000000-0010-0000-0000-00000A000000}" name="Paid Thru January"/>
    <tableColumn id="11" xr3:uid="{00000000-0010-0000-0000-00000B000000}" name="Paid Thru February"/>
    <tableColumn id="12" xr3:uid="{00000000-0010-0000-0000-00000C000000}" name="Paid Thru March"/>
    <tableColumn id="13" xr3:uid="{00000000-0010-0000-0000-00000D000000}" name="Paid Thru April"/>
    <tableColumn id="14" xr3:uid="{00000000-0010-0000-0000-00000E000000}" name="Paid Thru May"/>
    <tableColumn id="15" xr3:uid="{00000000-0010-0000-0000-00000F000000}" name="Paid Thru Jun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FAB6EEA-97EA-4099-9B3F-9F52AAAD63EE}" name="PaymentBreakdown" displayName="PaymentBreakdown" ref="A1:N326" totalsRowShown="0">
  <autoFilter ref="A1:N326" xr:uid="{1FAB6EEA-97EA-4099-9B3F-9F52AAAD63EE}"/>
  <tableColumns count="14">
    <tableColumn id="1" xr3:uid="{29F743F5-30D5-4323-84AE-DA5FC9DA7EBF}" name="FiscalYear"/>
    <tableColumn id="2" xr3:uid="{B5C21468-5EF4-412C-8776-E99D432F9B28}" name="AEA" dataDxfId="20"/>
    <tableColumn id="3" xr3:uid="{359588A2-7DB0-41B1-B312-D113CD82ACB8}" name="AEA Name" dataDxfId="19"/>
    <tableColumn id="4" xr3:uid="{3CEC31F7-CC72-4EA0-9127-5EBFA1F7602D}" name="Dist" dataDxfId="18"/>
    <tableColumn id="5" xr3:uid="{46507800-7917-4834-A726-68F5647DAFD2}" name="District"/>
    <tableColumn id="6" xr3:uid="{CF26B52D-8A49-4729-9C33-6669DCF8E290}" name="State Aid Portion Sharing Operations"/>
    <tableColumn id="7" xr3:uid="{E9C83B6C-3C40-4E64-B903-522852F66EF6}" name="Sharing Operations Property Tax"/>
    <tableColumn id="8" xr3:uid="{CDE1B973-57E7-4AFA-92EB-0C1E694324A2}" name="Total AEA Sharing Operations"/>
    <tableColumn id="9" xr3:uid="{DA3F9B8C-386D-4CA7-A83C-4A5B18630AE3}" name="AEA Teacher Salary Supplement District Cost" dataDxfId="17"/>
    <tableColumn id="10" xr3:uid="{C6128D83-5DAE-4336-A303-C1AAD7C235CB}" name="AEA Media Services Nonpublic Portion"/>
    <tableColumn id="11" xr3:uid="{FC58E1C8-ED27-4B12-835E-2E4FBB10FAF2}" name="AEA Educational Services Nonpublic Portion"/>
    <tableColumn id="12" xr3:uid="{FA76C09E-F12A-4DBC-9DA6-B9C10005C33F}" name="Total AEA Payment" dataDxfId="16"/>
    <tableColumn id="13" xr3:uid="{883A3761-AE31-4B46-A040-837F04C19050}" name="AEA Payment State Aid Portion" dataDxfId="15"/>
    <tableColumn id="14" xr3:uid="{446963B0-D0D1-4BEA-A44C-C13240BFDFFA}" name="AEA Payment Property Tax Por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0EED172-E6B1-4303-8BF2-6601E1234DF9}" name="Data_Detail_OLD" displayName="Data_Detail_OLD" ref="A1:V326" totalsRowShown="0">
  <autoFilter ref="A1:V326" xr:uid="{3C3FDE83-A6FF-4572-A912-BCC62B455E46}"/>
  <tableColumns count="22">
    <tableColumn id="1" xr3:uid="{F975D51C-9753-4082-8925-497BE138D0B6}" name="FiscalYear"/>
    <tableColumn id="2" xr3:uid="{D8937C49-7FC3-40B3-B2E0-64112C506BCC}" name="AEA" dataDxfId="14"/>
    <tableColumn id="3" xr3:uid="{CE2A5982-68D2-4710-9FCF-65CEFEE0E348}" name="AEA Name"/>
    <tableColumn id="4" xr3:uid="{883D72B2-5641-454E-93A0-7176D738D69D}" name="Dist" dataDxfId="13"/>
    <tableColumn id="5" xr3:uid="{C1217724-6AC3-49D1-B786-999A7BCD83CF}" name="District"/>
    <tableColumn id="6" xr3:uid="{44308A31-B6D3-4B83-A090-2007026A0EDA}" name="AEA Special Ed Support District Cost Formula Generated" dataDxfId="12"/>
    <tableColumn id="7" xr3:uid="{35A38103-1D4A-4475-A8AA-76D1D8AAA9CD}" name="State Aid Portion Special Ed" dataDxfId="11"/>
    <tableColumn id="8" xr3:uid="{249CB287-60D4-4A99-8C98-7556D774A772}" name="AEA Statewide State Aid Reduction" dataDxfId="10"/>
    <tableColumn id="9" xr3:uid="{770A9055-D9AA-4B04-B62C-0A36F8F6963D}" name="State Aid Special Ed Minus Reduction" dataDxfId="9"/>
    <tableColumn id="10" xr3:uid="{62ED7B7F-3B99-4C7A-B017-6D98D6AD6C47}" name="Special Education Property Tax Portion" dataDxfId="8"/>
    <tableColumn id="11" xr3:uid="{2F16D3BF-ED45-49C9-A598-AE6645F77453}" name="AEA Special Ed Support Adjustment"/>
    <tableColumn id="12" xr3:uid="{1C4B16D3-D848-4B4B-8EF1-29D1A696B8EA}" name="Total Special Ed Funding Removing Reduction Including Adjustment" dataDxfId="7"/>
    <tableColumn id="13" xr3:uid="{7DEF2C70-3813-4F0F-9EF2-4AA40367D1DF}" name="State Aid Portion Sharing Operations"/>
    <tableColumn id="14" xr3:uid="{DB2531C3-A24D-4F35-A759-467EE9C3DA98}" name="Sharing Operations Property Tax"/>
    <tableColumn id="15" xr3:uid="{1CAE3D14-1B89-496B-984D-DB6054464D1B}" name="Total AEA Sharing Operations"/>
    <tableColumn id="16" xr3:uid="{28C8C1AE-9995-43C4-AC05-09100739D3B6}" name="AEA Teacher Salary Supplement District Cost" dataDxfId="6"/>
    <tableColumn id="17" xr3:uid="{54D40613-B14B-4501-86DF-F803003CB593}" name="AEA Professional Development Supplement District Cost" dataDxfId="5"/>
    <tableColumn id="18" xr3:uid="{7ACEE2A9-C6EE-46C2-8305-A49DEE62186B}" name="AEA Media Services District Cost" dataDxfId="4"/>
    <tableColumn id="19" xr3:uid="{069FCDF4-FF7F-4504-BEB7-5136755C6F1C}" name="AEA Ed Services District Cost" dataDxfId="3"/>
    <tableColumn id="20" xr3:uid="{1503B391-69C8-49DE-A219-5A5E810E028C}" name="Total Budget" dataDxfId="2"/>
    <tableColumn id="21" xr3:uid="{AA37ACFF-D191-4C9C-93C6-3D08D3A21E1E}" name="State Aid Portion" dataDxfId="1"/>
    <tableColumn id="22" xr3:uid="{FE63F165-F777-4640-BDBE-224C9A5C8BE9}" name="Property Tax Portion"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10"/>
  <sheetViews>
    <sheetView workbookViewId="0">
      <selection sqref="A1:O10"/>
    </sheetView>
  </sheetViews>
  <sheetFormatPr defaultRowHeight="15" x14ac:dyDescent="0.25"/>
  <cols>
    <col min="1" max="1" width="9.140625" style="1"/>
    <col min="2" max="2" width="9.42578125" style="1" customWidth="1"/>
    <col min="3" max="3" width="16.85546875" customWidth="1"/>
    <col min="4" max="4" width="18.28515625" customWidth="1"/>
    <col min="5" max="5" width="12.42578125" customWidth="1"/>
    <col min="6" max="6" width="21.7109375" customWidth="1"/>
    <col min="7" max="7" width="19" customWidth="1"/>
    <col min="8" max="8" width="21.28515625" customWidth="1"/>
    <col min="9" max="9" width="21" customWidth="1"/>
    <col min="10" max="10" width="18.5703125" customWidth="1"/>
    <col min="11" max="11" width="19.7109375" customWidth="1"/>
    <col min="12" max="12" width="17.42578125" customWidth="1"/>
    <col min="13" max="13" width="16.140625" customWidth="1"/>
    <col min="14" max="14" width="15.7109375" customWidth="1"/>
    <col min="15" max="15" width="16" customWidth="1"/>
  </cols>
  <sheetData>
    <row r="1" spans="1:15" x14ac:dyDescent="0.25">
      <c r="A1" s="1" t="s">
        <v>46</v>
      </c>
      <c r="B1" s="1" t="s">
        <v>47</v>
      </c>
      <c r="C1" t="s">
        <v>0</v>
      </c>
      <c r="D1" t="s">
        <v>1</v>
      </c>
      <c r="E1" t="s">
        <v>2</v>
      </c>
      <c r="F1" t="s">
        <v>3</v>
      </c>
      <c r="G1" t="s">
        <v>4</v>
      </c>
      <c r="H1" t="s">
        <v>5</v>
      </c>
      <c r="I1" t="s">
        <v>6</v>
      </c>
      <c r="J1" t="s">
        <v>7</v>
      </c>
      <c r="K1" t="s">
        <v>8</v>
      </c>
      <c r="L1" t="s">
        <v>9</v>
      </c>
      <c r="M1" t="s">
        <v>10</v>
      </c>
      <c r="N1" t="s">
        <v>11</v>
      </c>
      <c r="O1" t="s">
        <v>12</v>
      </c>
    </row>
    <row r="2" spans="1:15" x14ac:dyDescent="0.25">
      <c r="A2" s="1" t="s">
        <v>13</v>
      </c>
      <c r="B2" s="1" t="s">
        <v>48</v>
      </c>
      <c r="C2">
        <v>1735867</v>
      </c>
      <c r="D2">
        <v>173587</v>
      </c>
      <c r="E2">
        <v>173584</v>
      </c>
      <c r="F2">
        <v>173587</v>
      </c>
      <c r="G2">
        <v>347174</v>
      </c>
      <c r="H2">
        <v>520761</v>
      </c>
      <c r="I2">
        <v>694348</v>
      </c>
      <c r="J2">
        <v>867935</v>
      </c>
      <c r="K2">
        <v>1041522</v>
      </c>
      <c r="L2">
        <v>1215109</v>
      </c>
      <c r="M2">
        <v>1388696</v>
      </c>
      <c r="N2">
        <v>1562283</v>
      </c>
      <c r="O2">
        <v>1735867</v>
      </c>
    </row>
    <row r="3" spans="1:15" x14ac:dyDescent="0.25">
      <c r="A3" s="1" t="s">
        <v>14</v>
      </c>
      <c r="B3" s="1" t="s">
        <v>49</v>
      </c>
      <c r="C3">
        <v>1595089</v>
      </c>
      <c r="D3">
        <v>159509</v>
      </c>
      <c r="E3">
        <v>159508</v>
      </c>
      <c r="F3">
        <v>159509</v>
      </c>
      <c r="G3">
        <v>319018</v>
      </c>
      <c r="H3">
        <v>478527</v>
      </c>
      <c r="I3">
        <v>638036</v>
      </c>
      <c r="J3">
        <v>797545</v>
      </c>
      <c r="K3">
        <v>957054</v>
      </c>
      <c r="L3">
        <v>1116563</v>
      </c>
      <c r="M3">
        <v>1276072</v>
      </c>
      <c r="N3">
        <v>1435581</v>
      </c>
      <c r="O3">
        <v>1595089</v>
      </c>
    </row>
    <row r="4" spans="1:15" x14ac:dyDescent="0.25">
      <c r="A4" s="1" t="s">
        <v>15</v>
      </c>
      <c r="B4" s="1" t="s">
        <v>50</v>
      </c>
      <c r="C4">
        <v>3597573</v>
      </c>
      <c r="D4">
        <v>359758</v>
      </c>
      <c r="E4">
        <v>359751</v>
      </c>
      <c r="F4">
        <v>359758</v>
      </c>
      <c r="G4">
        <v>719516</v>
      </c>
      <c r="H4">
        <v>1079274</v>
      </c>
      <c r="I4">
        <v>1439032</v>
      </c>
      <c r="J4">
        <v>1798790</v>
      </c>
      <c r="K4">
        <v>2158548</v>
      </c>
      <c r="L4">
        <v>2518306</v>
      </c>
      <c r="M4">
        <v>2878064</v>
      </c>
      <c r="N4">
        <v>3237822</v>
      </c>
      <c r="O4">
        <v>3597573</v>
      </c>
    </row>
    <row r="5" spans="1:15" x14ac:dyDescent="0.25">
      <c r="A5" s="1" t="s">
        <v>16</v>
      </c>
      <c r="B5" s="1" t="s">
        <v>51</v>
      </c>
      <c r="C5">
        <v>2178763</v>
      </c>
      <c r="D5">
        <v>217877</v>
      </c>
      <c r="E5">
        <v>217870</v>
      </c>
      <c r="F5">
        <v>217877</v>
      </c>
      <c r="G5">
        <v>435754</v>
      </c>
      <c r="H5">
        <v>653631</v>
      </c>
      <c r="I5">
        <v>871508</v>
      </c>
      <c r="J5">
        <v>1089385</v>
      </c>
      <c r="K5">
        <v>1307262</v>
      </c>
      <c r="L5">
        <v>1525139</v>
      </c>
      <c r="M5">
        <v>1743016</v>
      </c>
      <c r="N5">
        <v>1960893</v>
      </c>
      <c r="O5">
        <v>2178763</v>
      </c>
    </row>
    <row r="6" spans="1:15" x14ac:dyDescent="0.25">
      <c r="A6" s="1" t="s">
        <v>17</v>
      </c>
      <c r="B6" s="1" t="s">
        <v>52</v>
      </c>
      <c r="C6">
        <v>3322375</v>
      </c>
      <c r="D6">
        <v>332237</v>
      </c>
      <c r="E6">
        <v>332242</v>
      </c>
      <c r="F6">
        <v>332237</v>
      </c>
      <c r="G6">
        <v>664474</v>
      </c>
      <c r="H6">
        <v>996711</v>
      </c>
      <c r="I6">
        <v>1328948</v>
      </c>
      <c r="J6">
        <v>1661185</v>
      </c>
      <c r="K6">
        <v>1993422</v>
      </c>
      <c r="L6">
        <v>2325659</v>
      </c>
      <c r="M6">
        <v>2657896</v>
      </c>
      <c r="N6">
        <v>2990133</v>
      </c>
      <c r="O6">
        <v>3322375</v>
      </c>
    </row>
    <row r="7" spans="1:15" x14ac:dyDescent="0.25">
      <c r="A7" s="1" t="s">
        <v>18</v>
      </c>
      <c r="B7" s="1" t="s">
        <v>53</v>
      </c>
      <c r="C7">
        <v>6332607</v>
      </c>
      <c r="D7">
        <v>633266</v>
      </c>
      <c r="E7">
        <v>633213</v>
      </c>
      <c r="F7">
        <v>633266</v>
      </c>
      <c r="G7">
        <v>1266532</v>
      </c>
      <c r="H7">
        <v>1899798</v>
      </c>
      <c r="I7">
        <v>2533064</v>
      </c>
      <c r="J7">
        <v>3166330</v>
      </c>
      <c r="K7">
        <v>3799596</v>
      </c>
      <c r="L7">
        <v>4432862</v>
      </c>
      <c r="M7">
        <v>5066128</v>
      </c>
      <c r="N7">
        <v>5699394</v>
      </c>
      <c r="O7">
        <v>6332607</v>
      </c>
    </row>
    <row r="8" spans="1:15" x14ac:dyDescent="0.25">
      <c r="A8" s="1" t="s">
        <v>19</v>
      </c>
      <c r="B8" s="1" t="s">
        <v>54</v>
      </c>
      <c r="C8">
        <v>2448724</v>
      </c>
      <c r="D8">
        <v>244874</v>
      </c>
      <c r="E8">
        <v>244858</v>
      </c>
      <c r="F8">
        <v>244874</v>
      </c>
      <c r="G8">
        <v>489748</v>
      </c>
      <c r="H8">
        <v>734622</v>
      </c>
      <c r="I8">
        <v>979496</v>
      </c>
      <c r="J8">
        <v>1224370</v>
      </c>
      <c r="K8">
        <v>1469244</v>
      </c>
      <c r="L8">
        <v>1714118</v>
      </c>
      <c r="M8">
        <v>1958992</v>
      </c>
      <c r="N8">
        <v>2203866</v>
      </c>
      <c r="O8">
        <v>2448724</v>
      </c>
    </row>
    <row r="9" spans="1:15" x14ac:dyDescent="0.25">
      <c r="A9" s="1" t="s">
        <v>20</v>
      </c>
      <c r="B9" s="1" t="s">
        <v>55</v>
      </c>
      <c r="C9">
        <v>1717250</v>
      </c>
      <c r="D9">
        <v>171727</v>
      </c>
      <c r="E9">
        <v>171707</v>
      </c>
      <c r="F9">
        <v>171727</v>
      </c>
      <c r="G9">
        <v>343454</v>
      </c>
      <c r="H9">
        <v>515181</v>
      </c>
      <c r="I9">
        <v>686908</v>
      </c>
      <c r="J9">
        <v>858635</v>
      </c>
      <c r="K9">
        <v>1030362</v>
      </c>
      <c r="L9">
        <v>1202089</v>
      </c>
      <c r="M9">
        <v>1373816</v>
      </c>
      <c r="N9">
        <v>1545543</v>
      </c>
      <c r="O9">
        <v>1717250</v>
      </c>
    </row>
    <row r="10" spans="1:15" x14ac:dyDescent="0.25">
      <c r="A10" s="1" t="s">
        <v>21</v>
      </c>
      <c r="B10" s="1" t="s">
        <v>56</v>
      </c>
      <c r="C10">
        <v>1558068</v>
      </c>
      <c r="D10">
        <v>155809</v>
      </c>
      <c r="E10">
        <v>155787</v>
      </c>
      <c r="F10">
        <v>155809</v>
      </c>
      <c r="G10">
        <v>311618</v>
      </c>
      <c r="H10">
        <v>467427</v>
      </c>
      <c r="I10">
        <v>623236</v>
      </c>
      <c r="J10">
        <v>779045</v>
      </c>
      <c r="K10">
        <v>934854</v>
      </c>
      <c r="L10">
        <v>1090663</v>
      </c>
      <c r="M10">
        <v>1246472</v>
      </c>
      <c r="N10">
        <v>1402281</v>
      </c>
      <c r="O10">
        <v>1558068</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153F6-87C9-499F-922A-FFB36F150567}">
  <sheetPr>
    <tabColor rgb="FF92D050"/>
    <pageSetUpPr fitToPage="1"/>
  </sheetPr>
  <dimension ref="A1:M39"/>
  <sheetViews>
    <sheetView topLeftCell="A2" zoomScale="90" zoomScaleNormal="90" workbookViewId="0">
      <selection activeCell="C4" sqref="C4"/>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12" hidden="1" customWidth="1"/>
    <col min="12" max="12" width="11" hidden="1" customWidth="1"/>
    <col min="13" max="13" width="12.140625" hidden="1" customWidth="1"/>
  </cols>
  <sheetData>
    <row r="1" spans="1:11" ht="45" customHeight="1" x14ac:dyDescent="0.25">
      <c r="A1" s="66" t="str">
        <f>_xlfn.CONCAT("FY ",K2," AEA Enrollments and Cost - Final - State Aid and Property Tax Breakdown - June Payment")</f>
        <v>FY 2026 AEA Enrollments and Cost - Final - State Aid and Property Tax Breakdown - June Payment</v>
      </c>
      <c r="B1" s="66"/>
      <c r="C1" s="66"/>
      <c r="D1" s="66"/>
      <c r="E1" s="66"/>
      <c r="F1" s="66"/>
      <c r="G1" s="66"/>
      <c r="H1" s="66"/>
      <c r="I1" s="66"/>
    </row>
    <row r="2" spans="1:11" s="10" customFormat="1" ht="45" x14ac:dyDescent="0.25">
      <c r="A2" s="7" t="s">
        <v>46</v>
      </c>
      <c r="B2" s="7" t="s">
        <v>47</v>
      </c>
      <c r="C2" s="8" t="str">
        <f>Data_Detail_OLD[[#Headers],[AEA Special Ed Support District Cost Formula Generated]]</f>
        <v>AEA Special Ed Support District Cost Formula Generated</v>
      </c>
      <c r="D2" s="8" t="str">
        <f>Data_Detail_OLD[[#Headers],[State Aid Portion Special Ed]]</f>
        <v>State Aid Portion Special Ed</v>
      </c>
      <c r="E2" s="8" t="str">
        <f>Data_Detail_OLD[[#Headers],[AEA Statewide State Aid Reduction]]</f>
        <v>AEA Statewide State Aid Reduction</v>
      </c>
      <c r="F2" s="21" t="str">
        <f>Data_Detail_OLD[[#Headers],[State Aid Special Ed Minus Reduction]]</f>
        <v>State Aid Special Ed Minus Reduction</v>
      </c>
      <c r="G2" s="9" t="str">
        <f>Data_Detail_OLD[[#Headers],[Special Education Property Tax Portion]]</f>
        <v>Special Education Property Tax Portion</v>
      </c>
      <c r="H2" s="9" t="str">
        <f>Data_Detail_OLD[[#Headers],[AEA Special Ed Support Adjustment]]</f>
        <v>AEA Special Ed Support Adjustment</v>
      </c>
      <c r="I2" s="8" t="str">
        <f>Data_Detail_OLD[[#Headers],[Total Special Ed Funding Removing Reduction Including Adjustment]]</f>
        <v>Total Special Ed Funding Removing Reduction Including Adjustment</v>
      </c>
      <c r="K2" s="10">
        <f>Notes!B1</f>
        <v>2026</v>
      </c>
    </row>
    <row r="3" spans="1:11" x14ac:dyDescent="0.25">
      <c r="A3" s="18" t="str">
        <f>Data!A2</f>
        <v>01</v>
      </c>
      <c r="B3" s="11" t="str">
        <f>INDEX(Data_Detail_OLD[],MATCH('PaymentCodingDetail_June-old'!$A3,Data_Detail_OLD[AEA],0),3)</f>
        <v>Keystone AEA 1</v>
      </c>
      <c r="C3" s="12">
        <f>'PaymentCodingTotal-old'!C3-('PaymentCodingDetai_Sept-May-old'!C3*9)</f>
        <v>10391386</v>
      </c>
      <c r="D3" s="12">
        <f>'PaymentCodingTotal-old'!D3-('PaymentCodingDetai_Sept-May-old'!D3*9)</f>
        <v>7893917</v>
      </c>
      <c r="E3" s="12">
        <f>'PaymentCodingTotal-old'!E3-('PaymentCodingDetai_Sept-May-old'!E3*9)</f>
        <v>1690752</v>
      </c>
      <c r="F3" s="48">
        <f>D3-E3</f>
        <v>6203165</v>
      </c>
      <c r="G3" s="19">
        <f>'PaymentCodingTotal-old'!G3-('PaymentCodingDetai_Sept-May-old'!G3*9)</f>
        <v>2497451</v>
      </c>
      <c r="H3" s="19">
        <f>'PaymentCodingTotal-old'!H3-('PaymentCodingDetai_Sept-May-old'!H3*9)</f>
        <v>42203</v>
      </c>
      <c r="I3" s="47">
        <f>SUM(F3:H3)</f>
        <v>8742819</v>
      </c>
      <c r="K3" s="6">
        <f>G12+D24+H12+C36+D36-G36</f>
        <v>0</v>
      </c>
    </row>
    <row r="4" spans="1:11" x14ac:dyDescent="0.25">
      <c r="A4" s="18" t="str">
        <f>Data!A3</f>
        <v>05</v>
      </c>
      <c r="B4" s="11" t="str">
        <f>INDEX(Data_Detail_OLD[],MATCH('PaymentCodingDetail_June-old'!$A4,Data_Detail_OLD[AEA],0),3)</f>
        <v>Prairie Lakes AEA 8</v>
      </c>
      <c r="C4" s="12">
        <f>'PaymentCodingTotal-old'!C4-('PaymentCodingDetai_Sept-May-old'!C4*9)</f>
        <v>10877285</v>
      </c>
      <c r="D4" s="12">
        <f>'PaymentCodingTotal-old'!D4-('PaymentCodingDetai_Sept-May-old'!D4*9)</f>
        <v>8360857</v>
      </c>
      <c r="E4" s="12">
        <f>'PaymentCodingTotal-old'!E4-('PaymentCodingDetai_Sept-May-old'!E4*9)</f>
        <v>1790763</v>
      </c>
      <c r="F4" s="48">
        <f t="shared" ref="F4:F11" si="0">D4-E4</f>
        <v>6570094</v>
      </c>
      <c r="G4" s="19">
        <f>'PaymentCodingTotal-old'!G4-('PaymentCodingDetai_Sept-May-old'!G4*9)</f>
        <v>2516437</v>
      </c>
      <c r="H4" s="19">
        <f>'PaymentCodingTotal-old'!H4-('PaymentCodingDetai_Sept-May-old'!H4*9)</f>
        <v>152231</v>
      </c>
      <c r="I4" s="47">
        <f t="shared" ref="I4:I11" si="1">SUM(F4:H4)</f>
        <v>9238762</v>
      </c>
      <c r="K4" s="6">
        <f>F12+C24+F24+G24-F36</f>
        <v>0</v>
      </c>
    </row>
    <row r="5" spans="1:11" x14ac:dyDescent="0.25">
      <c r="A5" s="18" t="str">
        <f>Data!A4</f>
        <v>07</v>
      </c>
      <c r="B5" s="11" t="str">
        <f>INDEX(Data_Detail_OLD[],MATCH('PaymentCodingDetail_June-old'!$A5,Data_Detail_OLD[AEA],0),3)</f>
        <v>Central Rivers</v>
      </c>
      <c r="C5" s="12">
        <f>'PaymentCodingTotal-old'!C5-('PaymentCodingDetai_Sept-May-old'!C5*9)</f>
        <v>22118097</v>
      </c>
      <c r="D5" s="12">
        <f>'PaymentCodingTotal-old'!D5-('PaymentCodingDetai_Sept-May-old'!D5*9)</f>
        <v>17320946</v>
      </c>
      <c r="E5" s="12">
        <f>'PaymentCodingTotal-old'!E5-('PaymentCodingDetai_Sept-May-old'!E5*9)</f>
        <v>3709875</v>
      </c>
      <c r="F5" s="48">
        <f t="shared" si="0"/>
        <v>13611071</v>
      </c>
      <c r="G5" s="19">
        <f>'PaymentCodingTotal-old'!G5-('PaymentCodingDetai_Sept-May-old'!G5*9)</f>
        <v>4797151</v>
      </c>
      <c r="H5" s="19">
        <f>'PaymentCodingTotal-old'!H5-('PaymentCodingDetai_Sept-May-old'!H5*9)</f>
        <v>186181</v>
      </c>
      <c r="I5" s="47">
        <f t="shared" si="1"/>
        <v>18594403</v>
      </c>
      <c r="K5" s="6">
        <f>F12+E12-D12</f>
        <v>0</v>
      </c>
    </row>
    <row r="6" spans="1:11" x14ac:dyDescent="0.25">
      <c r="A6" s="18" t="str">
        <f>Data!A5</f>
        <v>09</v>
      </c>
      <c r="B6" s="11" t="str">
        <f>INDEX(Data_Detail_OLD[],MATCH('PaymentCodingDetail_June-old'!$A6,Data_Detail_OLD[AEA],0),3)</f>
        <v>Mississippi Bend AEA 9</v>
      </c>
      <c r="C6" s="12">
        <f>'PaymentCodingTotal-old'!C6-('PaymentCodingDetai_Sept-May-old'!C6*9)</f>
        <v>16151933</v>
      </c>
      <c r="D6" s="12">
        <f>'PaymentCodingTotal-old'!D6-('PaymentCodingDetai_Sept-May-old'!D6*9)</f>
        <v>12734027</v>
      </c>
      <c r="E6" s="12">
        <f>'PaymentCodingTotal-old'!E6-('PaymentCodingDetai_Sept-May-old'!E6*9)</f>
        <v>2727429</v>
      </c>
      <c r="F6" s="48">
        <f t="shared" si="0"/>
        <v>10006598</v>
      </c>
      <c r="G6" s="19">
        <f>'PaymentCodingTotal-old'!G6-('PaymentCodingDetai_Sept-May-old'!G6*9)</f>
        <v>3417897</v>
      </c>
      <c r="H6" s="19">
        <f>'PaymentCodingTotal-old'!H6-('PaymentCodingDetai_Sept-May-old'!H6*9)</f>
        <v>77020</v>
      </c>
      <c r="I6" s="47">
        <f t="shared" si="1"/>
        <v>13501515</v>
      </c>
      <c r="K6" s="6">
        <f>H12+G12+F12-I12</f>
        <v>0</v>
      </c>
    </row>
    <row r="7" spans="1:11" x14ac:dyDescent="0.25">
      <c r="A7" s="18" t="str">
        <f>Data!A6</f>
        <v>10</v>
      </c>
      <c r="B7" s="11" t="str">
        <f>INDEX(Data_Detail_OLD[],MATCH('PaymentCodingDetail_June-old'!$A7,Data_Detail_OLD[AEA],0),3)</f>
        <v>Grant Wood AEA 10</v>
      </c>
      <c r="C7" s="12">
        <f>'PaymentCodingTotal-old'!C7-('PaymentCodingDetai_Sept-May-old'!C7*9)</f>
        <v>24700188</v>
      </c>
      <c r="D7" s="12">
        <f>'PaymentCodingTotal-old'!D7-('PaymentCodingDetai_Sept-May-old'!D7*9)</f>
        <v>19580802</v>
      </c>
      <c r="E7" s="12">
        <f>'PaymentCodingTotal-old'!E7-('PaymentCodingDetai_Sept-May-old'!E7*9)</f>
        <v>4193897</v>
      </c>
      <c r="F7" s="48">
        <f t="shared" si="0"/>
        <v>15386905</v>
      </c>
      <c r="G7" s="19">
        <f>'PaymentCodingTotal-old'!G7-('PaymentCodingDetai_Sept-May-old'!G7*9)</f>
        <v>5119386</v>
      </c>
      <c r="H7" s="19">
        <f>'PaymentCodingTotal-old'!H7-('PaymentCodingDetai_Sept-May-old'!H7*9)</f>
        <v>128330</v>
      </c>
      <c r="I7" s="47">
        <f t="shared" si="1"/>
        <v>20634621</v>
      </c>
      <c r="K7" s="6">
        <f>C24+D24-E24</f>
        <v>0</v>
      </c>
    </row>
    <row r="8" spans="1:11" x14ac:dyDescent="0.25">
      <c r="A8" s="18" t="str">
        <f>Data!A7</f>
        <v>11</v>
      </c>
      <c r="B8" s="11" t="str">
        <f>INDEX(Data_Detail_OLD[],MATCH('PaymentCodingDetail_June-old'!$A8,Data_Detail_OLD[AEA],0),3)</f>
        <v>Heartland AEA 11</v>
      </c>
      <c r="C8" s="12">
        <f>'PaymentCodingTotal-old'!C8-('PaymentCodingDetai_Sept-May-old'!C8*9)</f>
        <v>50835333</v>
      </c>
      <c r="D8" s="12">
        <f>'PaymentCodingTotal-old'!D8-('PaymentCodingDetai_Sept-May-old'!D8*9)</f>
        <v>41138092</v>
      </c>
      <c r="E8" s="12">
        <f>'PaymentCodingTotal-old'!E8-('PaymentCodingDetai_Sept-May-old'!E8*9)</f>
        <v>8811119</v>
      </c>
      <c r="F8" s="48">
        <f t="shared" si="0"/>
        <v>32326973</v>
      </c>
      <c r="G8" s="19">
        <f>'PaymentCodingTotal-old'!G8-('PaymentCodingDetai_Sept-May-old'!G8*9)</f>
        <v>9697250</v>
      </c>
      <c r="H8" s="19">
        <f>'PaymentCodingTotal-old'!H8-('PaymentCodingDetai_Sept-May-old'!H8*9)</f>
        <v>107042</v>
      </c>
      <c r="I8" s="47">
        <f t="shared" si="1"/>
        <v>42131265</v>
      </c>
    </row>
    <row r="9" spans="1:11" x14ac:dyDescent="0.25">
      <c r="A9" s="18" t="str">
        <f>Data!A8</f>
        <v>12</v>
      </c>
      <c r="B9" s="11" t="str">
        <f>INDEX(Data_Detail_OLD[],MATCH('PaymentCodingDetail_June-old'!$A9,Data_Detail_OLD[AEA],0),3)</f>
        <v>Northwest AEA</v>
      </c>
      <c r="C9" s="12">
        <f>'PaymentCodingTotal-old'!C9-('PaymentCodingDetai_Sept-May-old'!C9*9)</f>
        <v>14347014</v>
      </c>
      <c r="D9" s="12">
        <f>'PaymentCodingTotal-old'!D9-('PaymentCodingDetai_Sept-May-old'!D9*9)</f>
        <v>11132339</v>
      </c>
      <c r="E9" s="12">
        <f>'PaymentCodingTotal-old'!E9-('PaymentCodingDetai_Sept-May-old'!E9*9)</f>
        <v>2384373</v>
      </c>
      <c r="F9" s="48">
        <f t="shared" si="0"/>
        <v>8747966</v>
      </c>
      <c r="G9" s="19">
        <f>'PaymentCodingTotal-old'!G9-('PaymentCodingDetai_Sept-May-old'!G9*9)</f>
        <v>3214666</v>
      </c>
      <c r="H9" s="19">
        <f>'PaymentCodingTotal-old'!H9-('PaymentCodingDetai_Sept-May-old'!H9*9)</f>
        <v>95899</v>
      </c>
      <c r="I9" s="47">
        <f t="shared" si="1"/>
        <v>12058531</v>
      </c>
    </row>
    <row r="10" spans="1:11" x14ac:dyDescent="0.25">
      <c r="A10" s="18" t="str">
        <f>Data!A9</f>
        <v>13</v>
      </c>
      <c r="B10" s="11" t="str">
        <f>INDEX(Data_Detail_OLD[],MATCH('PaymentCodingDetail_June-old'!$A10,Data_Detail_OLD[AEA],0),3)</f>
        <v>Green Hills AEA 13</v>
      </c>
      <c r="C10" s="12">
        <f>'PaymentCodingTotal-old'!C10-('PaymentCodingDetai_Sept-May-old'!C10*9)</f>
        <v>13495462</v>
      </c>
      <c r="D10" s="12">
        <f>'PaymentCodingTotal-old'!D10-('PaymentCodingDetai_Sept-May-old'!D10*9)</f>
        <v>10668969</v>
      </c>
      <c r="E10" s="12">
        <f>'PaymentCodingTotal-old'!E10-('PaymentCodingDetai_Sept-May-old'!E10*9)</f>
        <v>2285124</v>
      </c>
      <c r="F10" s="48">
        <f t="shared" si="0"/>
        <v>8383845</v>
      </c>
      <c r="G10" s="19">
        <f>'PaymentCodingTotal-old'!G10-('PaymentCodingDetai_Sept-May-old'!G10*9)</f>
        <v>2826493</v>
      </c>
      <c r="H10" s="19">
        <f>'PaymentCodingTotal-old'!H10-('PaymentCodingDetai_Sept-May-old'!H10*9)</f>
        <v>158241</v>
      </c>
      <c r="I10" s="47">
        <f t="shared" si="1"/>
        <v>11368579</v>
      </c>
    </row>
    <row r="11" spans="1:11" x14ac:dyDescent="0.25">
      <c r="A11" s="18" t="str">
        <f>Data!A10</f>
        <v>15</v>
      </c>
      <c r="B11" s="11" t="str">
        <f>INDEX(Data_Detail_OLD[],MATCH('PaymentCodingDetail_June-old'!$A11,Data_Detail_OLD[AEA],0),3)</f>
        <v>Great Prairie AEA 15</v>
      </c>
      <c r="C11" s="12">
        <f>'PaymentCodingTotal-old'!C11-('PaymentCodingDetai_Sept-May-old'!C11*9)</f>
        <v>12058219</v>
      </c>
      <c r="D11" s="12">
        <f>'PaymentCodingTotal-old'!D11-('PaymentCodingDetai_Sept-May-old'!D11*9)</f>
        <v>9605372</v>
      </c>
      <c r="E11" s="12">
        <f>'PaymentCodingTotal-old'!E11-('PaymentCodingDetai_Sept-May-old'!E11*9)</f>
        <v>2057313</v>
      </c>
      <c r="F11" s="48">
        <f t="shared" si="0"/>
        <v>7548059</v>
      </c>
      <c r="G11" s="19">
        <f>'PaymentCodingTotal-old'!G11-('PaymentCodingDetai_Sept-May-old'!G11*9)</f>
        <v>2452847</v>
      </c>
      <c r="H11" s="19">
        <f>'PaymentCodingTotal-old'!H11-('PaymentCodingDetai_Sept-May-old'!H11*9)</f>
        <v>120410</v>
      </c>
      <c r="I11" s="47">
        <f t="shared" si="1"/>
        <v>10121316</v>
      </c>
    </row>
    <row r="12" spans="1:11" ht="15.75" thickBot="1" x14ac:dyDescent="0.3">
      <c r="C12" s="16">
        <f>SUM(C3:C11)</f>
        <v>174974917</v>
      </c>
      <c r="D12" s="16">
        <f t="shared" ref="D12:I12" si="2">SUM(D3:D11)</f>
        <v>138435321</v>
      </c>
      <c r="E12" s="16">
        <f t="shared" si="2"/>
        <v>29650645</v>
      </c>
      <c r="F12" s="37">
        <f t="shared" si="2"/>
        <v>108784676</v>
      </c>
      <c r="G12" s="20">
        <f t="shared" si="2"/>
        <v>36539578</v>
      </c>
      <c r="H12" s="20">
        <f>SUM(H3:H11)</f>
        <v>1067557</v>
      </c>
      <c r="I12" s="16">
        <f t="shared" si="2"/>
        <v>146391811</v>
      </c>
    </row>
    <row r="13" spans="1:11" ht="7.5" customHeight="1" thickTop="1" x14ac:dyDescent="0.25"/>
    <row r="14" spans="1:11" ht="45" x14ac:dyDescent="0.25">
      <c r="A14" s="17" t="str">
        <f t="shared" ref="A14:B23" si="3">A2</f>
        <v>AEA</v>
      </c>
      <c r="B14" s="17" t="str">
        <f t="shared" si="3"/>
        <v>AEA Name</v>
      </c>
      <c r="C14" s="21" t="str">
        <f>Data_Detail_OLD[[#Headers],[State Aid Portion Sharing Operations]]</f>
        <v>State Aid Portion Sharing Operations</v>
      </c>
      <c r="D14" s="9" t="str">
        <f>Data_Detail_OLD[[#Headers],[Sharing Operations Property Tax]]</f>
        <v>Sharing Operations Property Tax</v>
      </c>
      <c r="E14" s="9" t="str">
        <f>Data_Detail_OLD[[#Headers],[Total AEA Sharing Operations]]</f>
        <v>Total AEA Sharing Operations</v>
      </c>
      <c r="F14" s="21" t="str">
        <f>Data_Detail_OLD[[#Headers],[AEA Teacher Salary Supplement District Cost]]</f>
        <v>AEA Teacher Salary Supplement District Cost</v>
      </c>
      <c r="G14" s="21" t="str">
        <f>Data_Detail_OLD[[#Headers],[AEA Professional Development Supplement District Cost]]</f>
        <v>AEA Professional Development Supplement District Cost</v>
      </c>
    </row>
    <row r="15" spans="1:11" x14ac:dyDescent="0.25">
      <c r="A15" s="11" t="str">
        <f t="shared" si="3"/>
        <v>01</v>
      </c>
      <c r="B15" s="11" t="str">
        <f t="shared" si="3"/>
        <v>Keystone AEA 1</v>
      </c>
      <c r="C15" s="22">
        <f>'PaymentCodingTotal-old'!C15-('PaymentCodingDetai_Sept-May-old'!C15*9)</f>
        <v>20458</v>
      </c>
      <c r="D15" s="19">
        <f>'PaymentCodingTotal-old'!D15-('PaymentCodingDetai_Sept-May-old'!D15*9)</f>
        <v>6473</v>
      </c>
      <c r="E15" s="50">
        <f>SUM(C15:D15)</f>
        <v>26931</v>
      </c>
      <c r="F15" s="22">
        <f>'PaymentCodingTotal-old'!F15-('PaymentCodingDetai_Sept-May-old'!F15*9)</f>
        <v>1033968</v>
      </c>
      <c r="G15" s="22">
        <f>'PaymentCodingTotal-old'!G15-('PaymentCodingDetai_Sept-May-old'!G15*9)</f>
        <v>0</v>
      </c>
    </row>
    <row r="16" spans="1:11" x14ac:dyDescent="0.25">
      <c r="A16" s="11" t="str">
        <f t="shared" si="3"/>
        <v>05</v>
      </c>
      <c r="B16" s="11" t="str">
        <f t="shared" si="3"/>
        <v>Prairie Lakes AEA 8</v>
      </c>
      <c r="C16" s="22">
        <f>'PaymentCodingTotal-old'!C16-('PaymentCodingDetai_Sept-May-old'!C16*9)</f>
        <v>0</v>
      </c>
      <c r="D16" s="19">
        <f>'PaymentCodingTotal-old'!D16-('PaymentCodingDetai_Sept-May-old'!D16*9)</f>
        <v>0</v>
      </c>
      <c r="E16" s="50">
        <f t="shared" ref="E16:E23" si="4">SUM(C16:D16)</f>
        <v>0</v>
      </c>
      <c r="F16" s="22">
        <f>'PaymentCodingTotal-old'!F16-('PaymentCodingDetai_Sept-May-old'!F16*9)</f>
        <v>1160483</v>
      </c>
      <c r="G16" s="22">
        <f>'PaymentCodingTotal-old'!G16-('PaymentCodingDetai_Sept-May-old'!G16*9)</f>
        <v>0</v>
      </c>
      <c r="H16" s="67" t="s">
        <v>77</v>
      </c>
    </row>
    <row r="17" spans="1:13" x14ac:dyDescent="0.25">
      <c r="A17" s="11" t="str">
        <f t="shared" si="3"/>
        <v>07</v>
      </c>
      <c r="B17" s="11" t="str">
        <f t="shared" si="3"/>
        <v>Central Rivers</v>
      </c>
      <c r="C17" s="22">
        <f>'PaymentCodingTotal-old'!C17-('PaymentCodingDetai_Sept-May-old'!C17*9)</f>
        <v>21148</v>
      </c>
      <c r="D17" s="19">
        <f>'PaymentCodingTotal-old'!D17-('PaymentCodingDetai_Sept-May-old'!D17*9)</f>
        <v>5864</v>
      </c>
      <c r="E17" s="50">
        <f t="shared" si="4"/>
        <v>27012</v>
      </c>
      <c r="F17" s="22">
        <f>'PaymentCodingTotal-old'!F17-('PaymentCodingDetai_Sept-May-old'!F17*9)</f>
        <v>2730601</v>
      </c>
      <c r="G17" s="22">
        <f>'PaymentCodingTotal-old'!G17-('PaymentCodingDetai_Sept-May-old'!G17*9)</f>
        <v>0</v>
      </c>
      <c r="H17" s="67"/>
    </row>
    <row r="18" spans="1:13" x14ac:dyDescent="0.25">
      <c r="A18" s="11" t="str">
        <f t="shared" si="3"/>
        <v>09</v>
      </c>
      <c r="B18" s="11" t="str">
        <f t="shared" si="3"/>
        <v>Mississippi Bend AEA 9</v>
      </c>
      <c r="C18" s="22">
        <f>'PaymentCodingTotal-old'!C18-('PaymentCodingDetai_Sept-May-old'!C18*9)</f>
        <v>21625</v>
      </c>
      <c r="D18" s="19">
        <f>'PaymentCodingTotal-old'!D18-('PaymentCodingDetai_Sept-May-old'!D18*9)</f>
        <v>5810</v>
      </c>
      <c r="E18" s="50">
        <f t="shared" si="4"/>
        <v>27435</v>
      </c>
      <c r="F18" s="22">
        <f>'PaymentCodingTotal-old'!F18-('PaymentCodingDetai_Sept-May-old'!F18*9)</f>
        <v>1494013</v>
      </c>
      <c r="G18" s="22">
        <f>'PaymentCodingTotal-old'!G18-('PaymentCodingDetai_Sept-May-old'!G18*9)</f>
        <v>0</v>
      </c>
      <c r="H18" s="68" t="s">
        <v>729</v>
      </c>
    </row>
    <row r="19" spans="1:13" x14ac:dyDescent="0.25">
      <c r="A19" s="11" t="str">
        <f t="shared" si="3"/>
        <v>10</v>
      </c>
      <c r="B19" s="11" t="str">
        <f t="shared" si="3"/>
        <v>Grant Wood AEA 10</v>
      </c>
      <c r="C19" s="22">
        <f>'PaymentCodingTotal-old'!C19-('PaymentCodingDetai_Sept-May-old'!C19*9)</f>
        <v>21769</v>
      </c>
      <c r="D19" s="19">
        <f>'PaymentCodingTotal-old'!D19-('PaymentCodingDetai_Sept-May-old'!D19*9)</f>
        <v>5685</v>
      </c>
      <c r="E19" s="50">
        <f t="shared" si="4"/>
        <v>27454</v>
      </c>
      <c r="F19" s="22">
        <f>'PaymentCodingTotal-old'!F19-('PaymentCodingDetai_Sept-May-old'!F19*9)</f>
        <v>2352212</v>
      </c>
      <c r="G19" s="22">
        <f>'PaymentCodingTotal-old'!G19-('PaymentCodingDetai_Sept-May-old'!G19*9)</f>
        <v>0</v>
      </c>
      <c r="H19" s="68"/>
    </row>
    <row r="20" spans="1:13" x14ac:dyDescent="0.25">
      <c r="A20" s="11" t="str">
        <f t="shared" si="3"/>
        <v>11</v>
      </c>
      <c r="B20" s="11" t="str">
        <f t="shared" si="3"/>
        <v>Heartland AEA 11</v>
      </c>
      <c r="C20" s="22">
        <f>'PaymentCodingTotal-old'!C20-('PaymentCodingDetai_Sept-May-old'!C20*9)</f>
        <v>0</v>
      </c>
      <c r="D20" s="19">
        <f>'PaymentCodingTotal-old'!D20-('PaymentCodingDetai_Sept-May-old'!D20*9)</f>
        <v>0</v>
      </c>
      <c r="E20" s="50">
        <f t="shared" si="4"/>
        <v>0</v>
      </c>
      <c r="F20" s="22">
        <f>'PaymentCodingTotal-old'!F20-('PaymentCodingDetai_Sept-May-old'!F20*9)</f>
        <v>4374663</v>
      </c>
      <c r="G20" s="22">
        <f>'PaymentCodingTotal-old'!G20-('PaymentCodingDetai_Sept-May-old'!G20*9)</f>
        <v>0</v>
      </c>
    </row>
    <row r="21" spans="1:13" x14ac:dyDescent="0.25">
      <c r="A21" s="11" t="str">
        <f t="shared" si="3"/>
        <v>12</v>
      </c>
      <c r="B21" s="11" t="str">
        <f t="shared" si="3"/>
        <v>Northwest AEA</v>
      </c>
      <c r="C21" s="22">
        <f>'PaymentCodingTotal-old'!C21-('PaymentCodingDetai_Sept-May-old'!C21*9)</f>
        <v>20862</v>
      </c>
      <c r="D21" s="19">
        <f>'PaymentCodingTotal-old'!D21-('PaymentCodingDetai_Sept-May-old'!D21*9)</f>
        <v>6033</v>
      </c>
      <c r="E21" s="50">
        <f t="shared" si="4"/>
        <v>26895</v>
      </c>
      <c r="F21" s="22">
        <f>'PaymentCodingTotal-old'!F21-('PaymentCodingDetai_Sept-May-old'!F21*9)</f>
        <v>1452001</v>
      </c>
      <c r="G21" s="22">
        <f>'PaymentCodingTotal-old'!G21-('PaymentCodingDetai_Sept-May-old'!G21*9)</f>
        <v>0</v>
      </c>
    </row>
    <row r="22" spans="1:13" x14ac:dyDescent="0.25">
      <c r="A22" s="11" t="str">
        <f t="shared" si="3"/>
        <v>13</v>
      </c>
      <c r="B22" s="11" t="str">
        <f t="shared" si="3"/>
        <v>Green Hills AEA 13</v>
      </c>
      <c r="C22" s="22">
        <f>'PaymentCodingTotal-old'!C22-('PaymentCodingDetai_Sept-May-old'!C22*9)</f>
        <v>21789</v>
      </c>
      <c r="D22" s="19">
        <f>'PaymentCodingTotal-old'!D22-('PaymentCodingDetai_Sept-May-old'!D22*9)</f>
        <v>5772</v>
      </c>
      <c r="E22" s="50">
        <f t="shared" si="4"/>
        <v>27561</v>
      </c>
      <c r="F22" s="22">
        <f>'PaymentCodingTotal-old'!F22-('PaymentCodingDetai_Sept-May-old'!F22*9)</f>
        <v>1396036</v>
      </c>
      <c r="G22" s="22">
        <f>'PaymentCodingTotal-old'!G22-('PaymentCodingDetai_Sept-May-old'!G22*9)</f>
        <v>0</v>
      </c>
    </row>
    <row r="23" spans="1:13" x14ac:dyDescent="0.25">
      <c r="A23" s="11" t="str">
        <f t="shared" si="3"/>
        <v>15</v>
      </c>
      <c r="B23" s="11" t="str">
        <f t="shared" si="3"/>
        <v>Great Prairie AEA 15</v>
      </c>
      <c r="C23" s="22">
        <f>'PaymentCodingTotal-old'!C23-('PaymentCodingDetai_Sept-May-old'!C23*9)</f>
        <v>21936</v>
      </c>
      <c r="D23" s="19">
        <f>'PaymentCodingTotal-old'!D23-('PaymentCodingDetai_Sept-May-old'!D23*9)</f>
        <v>5600</v>
      </c>
      <c r="E23" s="50">
        <f t="shared" si="4"/>
        <v>27536</v>
      </c>
      <c r="F23" s="22">
        <f>'PaymentCodingTotal-old'!F23-('PaymentCodingDetai_Sept-May-old'!F23*9)</f>
        <v>1218687</v>
      </c>
      <c r="G23" s="22">
        <f>'PaymentCodingTotal-old'!G23-('PaymentCodingDetai_Sept-May-old'!G23*9)</f>
        <v>0</v>
      </c>
    </row>
    <row r="24" spans="1:13" ht="15.75" thickBot="1" x14ac:dyDescent="0.3">
      <c r="C24" s="46">
        <f>SUM(C15:C23)</f>
        <v>149587</v>
      </c>
      <c r="D24" s="20">
        <f>SUM(D15:D23)</f>
        <v>41237</v>
      </c>
      <c r="E24" s="20">
        <f>SUM(E15:E23)</f>
        <v>190824</v>
      </c>
      <c r="F24" s="37">
        <f>SUM(F15:F23)</f>
        <v>17212664</v>
      </c>
      <c r="G24" s="37">
        <f>SUM(G15:G23)</f>
        <v>0</v>
      </c>
    </row>
    <row r="25" spans="1:13" ht="7.5" customHeight="1" thickTop="1" x14ac:dyDescent="0.25">
      <c r="F25" s="6"/>
      <c r="G25" s="6"/>
      <c r="H25" s="6"/>
    </row>
    <row r="26" spans="1:13" ht="30" x14ac:dyDescent="0.25">
      <c r="A26" s="17" t="str">
        <f t="shared" ref="A26:B35" si="5">A14</f>
        <v>AEA</v>
      </c>
      <c r="B26" s="17" t="str">
        <f t="shared" si="5"/>
        <v>AEA Name</v>
      </c>
      <c r="C26" s="9" t="str">
        <f>Data_Detail_OLD[[#Headers],[AEA Media Services District Cost]]</f>
        <v>AEA Media Services District Cost</v>
      </c>
      <c r="D26" s="9" t="str">
        <f>Data_Detail_OLD[[#Headers],[AEA Ed Services District Cost]]</f>
        <v>AEA Ed Services District Cost</v>
      </c>
      <c r="E26" s="8" t="str">
        <f>Data_Detail_OLD[[#Headers],[Total Budget]]</f>
        <v>Total Budget</v>
      </c>
      <c r="F26" s="21" t="str">
        <f>Data_Detail_OLD[[#Headers],[State Aid Portion]]</f>
        <v>State Aid Portion</v>
      </c>
      <c r="G26" s="9" t="str">
        <f>Data_Detail_OLD[[#Headers],[Property Tax Portion]]</f>
        <v>Property Tax Portion</v>
      </c>
      <c r="K26" t="s">
        <v>76</v>
      </c>
      <c r="L26" t="s">
        <v>77</v>
      </c>
      <c r="M26" t="s">
        <v>78</v>
      </c>
    </row>
    <row r="27" spans="1:13" x14ac:dyDescent="0.25">
      <c r="A27" s="11" t="str">
        <f t="shared" si="5"/>
        <v>01</v>
      </c>
      <c r="B27" s="11" t="str">
        <f t="shared" si="5"/>
        <v>Keystone AEA 1</v>
      </c>
      <c r="C27" s="19">
        <f>'PaymentCodingTotal-old'!C27-('PaymentCodingDetai_Sept-May-old'!C27*9)</f>
        <v>1844362</v>
      </c>
      <c r="D27" s="19">
        <f>'PaymentCodingTotal-old'!D27-('PaymentCodingDetai_Sept-May-old'!D27*9)</f>
        <v>2054349</v>
      </c>
      <c r="E27" s="49">
        <f>INDEX(Data[],MATCH($A27,Data[AEA],0),MATCH("Pay 2 Final",Data[#Headers],0))</f>
        <v>173584</v>
      </c>
      <c r="F27" s="48">
        <f>F3+C15+F15+G15</f>
        <v>7257591</v>
      </c>
      <c r="G27" s="50">
        <f>G3+H3+D15+C27+D27</f>
        <v>6444838</v>
      </c>
      <c r="K27" s="6">
        <f>E27-D27-C27-G15-F15-E15-H3-G3-F3</f>
        <v>-13528845</v>
      </c>
      <c r="L27" s="6">
        <f t="shared" ref="L27:L36" si="6">F27-G15-F15-C15-F3</f>
        <v>0</v>
      </c>
      <c r="M27" s="6">
        <f t="shared" ref="M27:M36" si="7">G27-D27-C27-D15-H3-G3</f>
        <v>0</v>
      </c>
    </row>
    <row r="28" spans="1:13" x14ac:dyDescent="0.25">
      <c r="A28" s="11" t="str">
        <f t="shared" si="5"/>
        <v>05</v>
      </c>
      <c r="B28" s="11" t="str">
        <f t="shared" si="5"/>
        <v>Prairie Lakes AEA 8</v>
      </c>
      <c r="C28" s="19">
        <f>'PaymentCodingTotal-old'!C28-('PaymentCodingDetai_Sept-May-old'!C28*9)</f>
        <v>1890535</v>
      </c>
      <c r="D28" s="19">
        <f>'PaymentCodingTotal-old'!D28-('PaymentCodingDetai_Sept-May-old'!D28*9)</f>
        <v>2116799</v>
      </c>
      <c r="E28" s="49">
        <f>INDEX(Data[],MATCH($A28,Data[AEA],0),MATCH("Pay 2 Final",Data[#Headers],0))</f>
        <v>159508</v>
      </c>
      <c r="F28" s="48">
        <f t="shared" ref="F28:F35" si="8">F4+C16+F16+G16</f>
        <v>7730577</v>
      </c>
      <c r="G28" s="50">
        <f t="shared" ref="G28:G35" si="9">G4+H4+D16+C28+D28</f>
        <v>6676002</v>
      </c>
      <c r="K28" s="6">
        <f t="shared" ref="K28:K36" si="10">E28-D28-C28-G16-F16-E16-H4-G4-F4</f>
        <v>-14247071</v>
      </c>
      <c r="L28" s="6">
        <f t="shared" si="6"/>
        <v>0</v>
      </c>
      <c r="M28" s="6">
        <f t="shared" si="7"/>
        <v>0</v>
      </c>
    </row>
    <row r="29" spans="1:13" x14ac:dyDescent="0.25">
      <c r="A29" s="11" t="str">
        <f t="shared" si="5"/>
        <v>07</v>
      </c>
      <c r="B29" s="11" t="str">
        <f t="shared" si="5"/>
        <v>Central Rivers</v>
      </c>
      <c r="C29" s="19">
        <f>'PaymentCodingTotal-old'!C29-('PaymentCodingDetai_Sept-May-old'!C29*9)</f>
        <v>3768192</v>
      </c>
      <c r="D29" s="19">
        <f>'PaymentCodingTotal-old'!D29-('PaymentCodingDetai_Sept-May-old'!D29*9)</f>
        <v>4200475</v>
      </c>
      <c r="E29" s="49">
        <f>INDEX(Data[],MATCH($A29,Data[AEA],0),MATCH("Pay 2 Final",Data[#Headers],0))</f>
        <v>359751</v>
      </c>
      <c r="F29" s="48">
        <f t="shared" si="8"/>
        <v>16362820</v>
      </c>
      <c r="G29" s="50">
        <f t="shared" si="9"/>
        <v>12957863</v>
      </c>
      <c r="K29" s="6">
        <f t="shared" si="10"/>
        <v>-28960932</v>
      </c>
      <c r="L29" s="6">
        <f t="shared" si="6"/>
        <v>0</v>
      </c>
      <c r="M29" s="6">
        <f t="shared" si="7"/>
        <v>0</v>
      </c>
    </row>
    <row r="30" spans="1:13" x14ac:dyDescent="0.25">
      <c r="A30" s="11" t="str">
        <f t="shared" si="5"/>
        <v>09</v>
      </c>
      <c r="B30" s="11" t="str">
        <f t="shared" si="5"/>
        <v>Mississippi Bend AEA 9</v>
      </c>
      <c r="C30" s="19">
        <f>'PaymentCodingTotal-old'!C30-('PaymentCodingDetai_Sept-May-old'!C30*9)</f>
        <v>2815549</v>
      </c>
      <c r="D30" s="19">
        <f>'PaymentCodingTotal-old'!D30-('PaymentCodingDetai_Sept-May-old'!D30*9)</f>
        <v>3078850</v>
      </c>
      <c r="E30" s="49">
        <f>INDEX(Data[],MATCH($A30,Data[AEA],0),MATCH("Pay 2 Final",Data[#Headers],0))</f>
        <v>217870</v>
      </c>
      <c r="F30" s="48">
        <f t="shared" si="8"/>
        <v>11522236</v>
      </c>
      <c r="G30" s="50">
        <f t="shared" si="9"/>
        <v>9395126</v>
      </c>
      <c r="K30" s="6">
        <f t="shared" si="10"/>
        <v>-20699492</v>
      </c>
      <c r="L30" s="6">
        <f t="shared" si="6"/>
        <v>0</v>
      </c>
      <c r="M30" s="6">
        <f t="shared" si="7"/>
        <v>0</v>
      </c>
    </row>
    <row r="31" spans="1:13" x14ac:dyDescent="0.25">
      <c r="A31" s="11" t="str">
        <f t="shared" si="5"/>
        <v>10</v>
      </c>
      <c r="B31" s="11" t="str">
        <f t="shared" si="5"/>
        <v>Grant Wood AEA 10</v>
      </c>
      <c r="C31" s="19">
        <f>'PaymentCodingTotal-old'!C31-('PaymentCodingDetai_Sept-May-old'!C31*9)</f>
        <v>4415930</v>
      </c>
      <c r="D31" s="19">
        <f>'PaymentCodingTotal-old'!D31-('PaymentCodingDetai_Sept-May-old'!D31*9)</f>
        <v>4856290</v>
      </c>
      <c r="E31" s="49">
        <f>INDEX(Data[],MATCH($A31,Data[AEA],0),MATCH("Pay 2 Final",Data[#Headers],0))</f>
        <v>332242</v>
      </c>
      <c r="F31" s="48">
        <f t="shared" si="8"/>
        <v>17760886</v>
      </c>
      <c r="G31" s="50">
        <f t="shared" si="9"/>
        <v>14525621</v>
      </c>
      <c r="K31" s="6">
        <f t="shared" si="10"/>
        <v>-31954265</v>
      </c>
      <c r="L31" s="6">
        <f t="shared" si="6"/>
        <v>0</v>
      </c>
      <c r="M31" s="6">
        <f t="shared" si="7"/>
        <v>0</v>
      </c>
    </row>
    <row r="32" spans="1:13" x14ac:dyDescent="0.25">
      <c r="A32" s="11" t="str">
        <f t="shared" si="5"/>
        <v>11</v>
      </c>
      <c r="B32" s="11" t="str">
        <f t="shared" si="5"/>
        <v>Heartland AEA 11</v>
      </c>
      <c r="C32" s="19">
        <f>'PaymentCodingTotal-old'!C32-('PaymentCodingDetai_Sept-May-old'!C32*9)</f>
        <v>9186318</v>
      </c>
      <c r="D32" s="19">
        <f>'PaymentCodingTotal-old'!D32-('PaymentCodingDetai_Sept-May-old'!D32*9)</f>
        <v>10095595</v>
      </c>
      <c r="E32" s="49">
        <f>INDEX(Data[],MATCH($A32,Data[AEA],0),MATCH("Pay 2 Final",Data[#Headers],0))</f>
        <v>633213</v>
      </c>
      <c r="F32" s="48">
        <f t="shared" si="8"/>
        <v>36701636</v>
      </c>
      <c r="G32" s="50">
        <f t="shared" si="9"/>
        <v>29086205</v>
      </c>
      <c r="K32" s="6">
        <f t="shared" si="10"/>
        <v>-65154628</v>
      </c>
      <c r="L32" s="6">
        <f t="shared" si="6"/>
        <v>0</v>
      </c>
      <c r="M32" s="6">
        <f t="shared" si="7"/>
        <v>0</v>
      </c>
    </row>
    <row r="33" spans="1:13" x14ac:dyDescent="0.25">
      <c r="A33" s="11" t="str">
        <f t="shared" si="5"/>
        <v>12</v>
      </c>
      <c r="B33" s="11" t="str">
        <f t="shared" si="5"/>
        <v>Northwest AEA</v>
      </c>
      <c r="C33" s="19">
        <f>'PaymentCodingTotal-old'!C33-('PaymentCodingDetai_Sept-May-old'!C33*9)</f>
        <v>2621993</v>
      </c>
      <c r="D33" s="19">
        <f>'PaymentCodingTotal-old'!D33-('PaymentCodingDetai_Sept-May-old'!D33*9)</f>
        <v>2934921</v>
      </c>
      <c r="E33" s="49">
        <f>INDEX(Data[],MATCH($A33,Data[AEA],0),MATCH("Pay 2 Final",Data[#Headers],0))</f>
        <v>244858</v>
      </c>
      <c r="F33" s="48">
        <f t="shared" si="8"/>
        <v>10220829</v>
      </c>
      <c r="G33" s="50">
        <f t="shared" si="9"/>
        <v>8873512</v>
      </c>
      <c r="K33" s="6">
        <f t="shared" si="10"/>
        <v>-18849483</v>
      </c>
      <c r="L33" s="6">
        <f t="shared" si="6"/>
        <v>0</v>
      </c>
      <c r="M33" s="6">
        <f t="shared" si="7"/>
        <v>0</v>
      </c>
    </row>
    <row r="34" spans="1:13" x14ac:dyDescent="0.25">
      <c r="A34" s="11" t="str">
        <f t="shared" si="5"/>
        <v>13</v>
      </c>
      <c r="B34" s="11" t="str">
        <f t="shared" si="5"/>
        <v>Green Hills AEA 13</v>
      </c>
      <c r="C34" s="19">
        <f>'PaymentCodingTotal-old'!C34-('PaymentCodingDetai_Sept-May-old'!C34*9)</f>
        <v>2226368</v>
      </c>
      <c r="D34" s="19">
        <f>'PaymentCodingTotal-old'!D34-('PaymentCodingDetai_Sept-May-old'!D34*9)</f>
        <v>2461717</v>
      </c>
      <c r="E34" s="49">
        <f>INDEX(Data[],MATCH($A34,Data[AEA],0),MATCH("Pay 2 Final",Data[#Headers],0))</f>
        <v>171707</v>
      </c>
      <c r="F34" s="48">
        <f t="shared" si="8"/>
        <v>9801670</v>
      </c>
      <c r="G34" s="50">
        <f t="shared" si="9"/>
        <v>7678591</v>
      </c>
      <c r="K34" s="6">
        <f t="shared" si="10"/>
        <v>-17308554</v>
      </c>
      <c r="L34" s="6">
        <f t="shared" si="6"/>
        <v>0</v>
      </c>
      <c r="M34" s="6">
        <f t="shared" si="7"/>
        <v>0</v>
      </c>
    </row>
    <row r="35" spans="1:13" x14ac:dyDescent="0.25">
      <c r="A35" s="11" t="str">
        <f t="shared" si="5"/>
        <v>15</v>
      </c>
      <c r="B35" s="11" t="str">
        <f t="shared" si="5"/>
        <v>Great Prairie AEA 15</v>
      </c>
      <c r="C35" s="19">
        <f>'PaymentCodingTotal-old'!C35-('PaymentCodingDetai_Sept-May-old'!C35*9)</f>
        <v>2061490</v>
      </c>
      <c r="D35" s="19">
        <f>'PaymentCodingTotal-old'!D35-('PaymentCodingDetai_Sept-May-old'!D35*9)</f>
        <v>2266819</v>
      </c>
      <c r="E35" s="49">
        <f>INDEX(Data[],MATCH($A35,Data[AEA],0),MATCH("Pay 2 Final",Data[#Headers],0))</f>
        <v>155787</v>
      </c>
      <c r="F35" s="56">
        <f t="shared" si="8"/>
        <v>8788682</v>
      </c>
      <c r="G35" s="54">
        <f t="shared" si="9"/>
        <v>6907166</v>
      </c>
      <c r="K35" s="6">
        <f t="shared" si="10"/>
        <v>-15540061</v>
      </c>
      <c r="L35" s="6">
        <f t="shared" si="6"/>
        <v>0</v>
      </c>
      <c r="M35" s="6">
        <f t="shared" si="7"/>
        <v>0</v>
      </c>
    </row>
    <row r="36" spans="1:13" ht="15.75" thickBot="1" x14ac:dyDescent="0.3">
      <c r="C36" s="20">
        <f t="shared" ref="C36:E36" si="11">SUM(C27:C35)</f>
        <v>30830737</v>
      </c>
      <c r="D36" s="20">
        <f t="shared" si="11"/>
        <v>34065815</v>
      </c>
      <c r="E36" s="16">
        <f t="shared" si="11"/>
        <v>2448520</v>
      </c>
      <c r="F36" s="57">
        <f>SUM(F27:F35)</f>
        <v>126146927</v>
      </c>
      <c r="G36" s="55">
        <f>SUM(G27:G35)</f>
        <v>102544924</v>
      </c>
      <c r="K36" s="6">
        <f t="shared" si="10"/>
        <v>-226243331</v>
      </c>
      <c r="L36" s="6">
        <f t="shared" si="6"/>
        <v>0</v>
      </c>
      <c r="M36" s="6">
        <f t="shared" si="7"/>
        <v>0</v>
      </c>
    </row>
    <row r="37" spans="1:13" ht="15.75" thickTop="1" x14ac:dyDescent="0.25"/>
    <row r="39" spans="1:13" x14ac:dyDescent="0.25">
      <c r="H39" s="6"/>
    </row>
  </sheetData>
  <mergeCells count="3">
    <mergeCell ref="A1:I1"/>
    <mergeCell ref="H16:H17"/>
    <mergeCell ref="H18:H19"/>
  </mergeCells>
  <pageMargins left="0.25" right="0.25" top="0.75" bottom="0.75" header="0.3" footer="0.3"/>
  <pageSetup scale="77" orientation="landscape" r:id="rId1"/>
  <headerFooter>
    <oddFooter>&amp;LDepartment of Management&amp;R&amp;D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8DE00-6774-4957-911F-A975DD9CEC5E}">
  <sheetPr>
    <tabColor rgb="FFFFC000"/>
    <pageSetUpPr fitToPage="1"/>
  </sheetPr>
  <dimension ref="A1:L39"/>
  <sheetViews>
    <sheetView zoomScale="90" zoomScaleNormal="90" workbookViewId="0">
      <selection activeCell="E7" sqref="E7"/>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32.42578125" hidden="1" customWidth="1"/>
    <col min="12" max="12" width="31.85546875" hidden="1" customWidth="1"/>
    <col min="13" max="13" width="27.5703125" customWidth="1"/>
  </cols>
  <sheetData>
    <row r="1" spans="1:11" ht="45" customHeight="1" x14ac:dyDescent="0.25">
      <c r="A1" s="66" t="str">
        <f>_xlfn.CONCAT("FY ",K2," AEA Enrollments and Cost - Final - State Aid and Property Tax Breakdown")</f>
        <v>FY 2026 AEA Enrollments and Cost - Final - State Aid and Property Tax Breakdown</v>
      </c>
      <c r="B1" s="66"/>
      <c r="C1" s="66"/>
      <c r="D1" s="66"/>
      <c r="E1" s="66"/>
      <c r="F1" s="66"/>
      <c r="G1" s="66"/>
      <c r="H1" s="66"/>
      <c r="I1" s="66"/>
    </row>
    <row r="2" spans="1:11" s="10" customFormat="1" ht="45" x14ac:dyDescent="0.25">
      <c r="A2" s="7" t="s">
        <v>46</v>
      </c>
      <c r="B2" s="7" t="s">
        <v>47</v>
      </c>
      <c r="C2" s="8" t="str">
        <f>Data_Detail_OLD[[#Headers],[AEA Special Ed Support District Cost Formula Generated]]</f>
        <v>AEA Special Ed Support District Cost Formula Generated</v>
      </c>
      <c r="D2" s="8" t="str">
        <f>Data_Detail_OLD[[#Headers],[State Aid Portion Special Ed]]</f>
        <v>State Aid Portion Special Ed</v>
      </c>
      <c r="E2" s="8" t="str">
        <f>Data_Detail_OLD[[#Headers],[AEA Statewide State Aid Reduction]]</f>
        <v>AEA Statewide State Aid Reduction</v>
      </c>
      <c r="F2" s="21" t="str">
        <f>Data_Detail_OLD[[#Headers],[State Aid Special Ed Minus Reduction]]</f>
        <v>State Aid Special Ed Minus Reduction</v>
      </c>
      <c r="G2" s="9" t="str">
        <f>Data_Detail_OLD[[#Headers],[Special Education Property Tax Portion]]</f>
        <v>Special Education Property Tax Portion</v>
      </c>
      <c r="H2" s="9" t="str">
        <f>Data_Detail_OLD[[#Headers],[AEA Special Ed Support Adjustment]]</f>
        <v>AEA Special Ed Support Adjustment</v>
      </c>
      <c r="I2" s="8" t="str">
        <f>Data_Detail_OLD[[#Headers],[Total Special Ed Funding Removing Reduction Including Adjustment]]</f>
        <v>Total Special Ed Funding Removing Reduction Including Adjustment</v>
      </c>
      <c r="K2" s="10">
        <f>Notes!B1</f>
        <v>2026</v>
      </c>
    </row>
    <row r="3" spans="1:11" x14ac:dyDescent="0.25">
      <c r="A3" s="18" t="str">
        <f>Data!A2</f>
        <v>01</v>
      </c>
      <c r="B3" s="11" t="str">
        <f>INDEX(Data_Detail_OLD[],MATCH('PaymentCodingTotal-old'!$A3,Data_Detail_OLD[AEA],0),3)</f>
        <v>Keystone AEA 1</v>
      </c>
      <c r="C3" s="12">
        <f>SUMIFS(INDEX(Data_Detail_OLD[],0,MATCH(C$2,Data_Detail_OLD[#Headers],0)),Data_Detail_OLD[AEA],$A3,Data_Detail_OLD[FiscalYear],$K$2)</f>
        <v>11576155</v>
      </c>
      <c r="D3" s="12">
        <f>SUMIFS(INDEX(Data_Detail_OLD[],0,MATCH(D$2,Data_Detail_OLD[#Headers],0)),Data_Detail_OLD[AEA],$A3,Data_Detail_OLD[FiscalYear],$K$2)</f>
        <v>8793953</v>
      </c>
      <c r="E3" s="12">
        <f>SUMIFS(INDEX(Data_Detail_OLD[],0,MATCH(E$2,Data_Detail_OLD[#Headers],0)),Data_Detail_OLD[AEA],$A3,Data_Detail_OLD[FiscalYear],$K$2)</f>
        <v>1883523</v>
      </c>
      <c r="F3" s="48">
        <f t="shared" ref="F3:F11" si="0">D3-E3</f>
        <v>6910430</v>
      </c>
      <c r="G3" s="19">
        <f>SUMIFS(INDEX(Data_Detail_OLD[],0,MATCH(G$2,Data_Detail_OLD[#Headers],0)),Data_Detail_OLD[AEA],$A3,Data_Detail_OLD[FiscalYear],$K$2)</f>
        <v>2782202</v>
      </c>
      <c r="H3" s="19">
        <f>SUMIFS(INDEX(Data_Detail_OLD[],0,MATCH(H$2,Data_Detail_OLD[#Headers],0)),Data_Detail_OLD[AEA],$A3,Data_Detail_OLD[FiscalYear],$K$2)</f>
        <v>47018</v>
      </c>
      <c r="I3" s="47">
        <f>SUM(F3:H3)</f>
        <v>9739650</v>
      </c>
      <c r="K3" s="6">
        <f>G12+D24+H12+C36+D36-G36</f>
        <v>10</v>
      </c>
    </row>
    <row r="4" spans="1:11" x14ac:dyDescent="0.25">
      <c r="A4" s="18" t="str">
        <f>Data!A3</f>
        <v>05</v>
      </c>
      <c r="B4" s="11" t="str">
        <f>INDEX(Data_Detail_OLD[],MATCH('PaymentCodingTotal-old'!$A4,Data_Detail_OLD[AEA],0),3)</f>
        <v>Prairie Lakes AEA 8</v>
      </c>
      <c r="C4" s="12">
        <f>SUMIFS(INDEX(Data_Detail_OLD[],0,MATCH(C$2,Data_Detail_OLD[#Headers],0)),Data_Detail_OLD[AEA],$A4,Data_Detail_OLD[FiscalYear],$K$2)</f>
        <v>11961182</v>
      </c>
      <c r="D4" s="12">
        <f>SUMIFS(INDEX(Data_Detail_OLD[],0,MATCH(D$2,Data_Detail_OLD[#Headers],0)),Data_Detail_OLD[AEA],$A4,Data_Detail_OLD[FiscalYear],$K$2)</f>
        <v>9193987</v>
      </c>
      <c r="E4" s="12">
        <f>SUMIFS(INDEX(Data_Detail_OLD[],0,MATCH(E$2,Data_Detail_OLD[#Headers],0)),Data_Detail_OLD[AEA],$A4,Data_Detail_OLD[FiscalYear],$K$2)</f>
        <v>1969206</v>
      </c>
      <c r="F4" s="48">
        <f t="shared" si="0"/>
        <v>7224781</v>
      </c>
      <c r="G4" s="19">
        <f>SUMIFS(INDEX(Data_Detail_OLD[],0,MATCH(G$2,Data_Detail_OLD[#Headers],0)),Data_Detail_OLD[AEA],$A4,Data_Detail_OLD[FiscalYear],$K$2)</f>
        <v>2767195</v>
      </c>
      <c r="H4" s="19">
        <f>SUMIFS(INDEX(Data_Detail_OLD[],0,MATCH(H$2,Data_Detail_OLD[#Headers],0)),Data_Detail_OLD[AEA],$A4,Data_Detail_OLD[FiscalYear],$K$2)</f>
        <v>167396</v>
      </c>
      <c r="I4" s="47">
        <f t="shared" ref="I4:I11" si="1">SUM(F4:H4)</f>
        <v>10159372</v>
      </c>
      <c r="K4" s="6">
        <f>F12+C24+F24+G24-F36</f>
        <v>-10</v>
      </c>
    </row>
    <row r="5" spans="1:11" x14ac:dyDescent="0.25">
      <c r="A5" s="18" t="str">
        <f>Data!A4</f>
        <v>07</v>
      </c>
      <c r="B5" s="11" t="str">
        <f>INDEX(Data_Detail_OLD[],MATCH('PaymentCodingTotal-old'!$A5,Data_Detail_OLD[AEA],0),3)</f>
        <v>Central Rivers</v>
      </c>
      <c r="C5" s="12">
        <f>SUMIFS(INDEX(Data_Detail_OLD[],0,MATCH(C$2,Data_Detail_OLD[#Headers],0)),Data_Detail_OLD[AEA],$A5,Data_Detail_OLD[FiscalYear],$K$2)</f>
        <v>24560553</v>
      </c>
      <c r="D5" s="12">
        <f>SUMIFS(INDEX(Data_Detail_OLD[],0,MATCH(D$2,Data_Detail_OLD[#Headers],0)),Data_Detail_OLD[AEA],$A5,Data_Detail_OLD[FiscalYear],$K$2)</f>
        <v>19233662</v>
      </c>
      <c r="E5" s="12">
        <f>SUMIFS(INDEX(Data_Detail_OLD[],0,MATCH(E$2,Data_Detail_OLD[#Headers],0)),Data_Detail_OLD[AEA],$A5,Data_Detail_OLD[FiscalYear],$K$2)</f>
        <v>4119546</v>
      </c>
      <c r="F5" s="48">
        <f t="shared" si="0"/>
        <v>15114116</v>
      </c>
      <c r="G5" s="19">
        <f>SUMIFS(INDEX(Data_Detail_OLD[],0,MATCH(G$2,Data_Detail_OLD[#Headers],0)),Data_Detail_OLD[AEA],$A5,Data_Detail_OLD[FiscalYear],$K$2)</f>
        <v>5326891</v>
      </c>
      <c r="H5" s="19">
        <f>SUMIFS(INDEX(Data_Detail_OLD[],0,MATCH(H$2,Data_Detail_OLD[#Headers],0)),Data_Detail_OLD[AEA],$A5,Data_Detail_OLD[FiscalYear],$K$2)</f>
        <v>206737</v>
      </c>
      <c r="I5" s="47">
        <f t="shared" si="1"/>
        <v>20647744</v>
      </c>
      <c r="K5" s="6">
        <f>F12+E12-D12</f>
        <v>0</v>
      </c>
    </row>
    <row r="6" spans="1:11" x14ac:dyDescent="0.25">
      <c r="A6" s="18" t="str">
        <f>Data!A5</f>
        <v>09</v>
      </c>
      <c r="B6" s="11" t="str">
        <f>INDEX(Data_Detail_OLD[],MATCH('PaymentCodingTotal-old'!$A6,Data_Detail_OLD[AEA],0),3)</f>
        <v>Mississippi Bend AEA 9</v>
      </c>
      <c r="C6" s="12">
        <f>SUMIFS(INDEX(Data_Detail_OLD[],0,MATCH(C$2,Data_Detail_OLD[#Headers],0)),Data_Detail_OLD[AEA],$A6,Data_Detail_OLD[FiscalYear],$K$2)</f>
        <v>17666093</v>
      </c>
      <c r="D6" s="12">
        <f>SUMIFS(INDEX(Data_Detail_OLD[],0,MATCH(D$2,Data_Detail_OLD[#Headers],0)),Data_Detail_OLD[AEA],$A6,Data_Detail_OLD[FiscalYear],$K$2)-2</f>
        <v>13927787</v>
      </c>
      <c r="E6" s="12">
        <f>SUMIFS(INDEX(Data_Detail_OLD[],0,MATCH(E$2,Data_Detail_OLD[#Headers],0)),Data_Detail_OLD[AEA],$A6,Data_Detail_OLD[FiscalYear],$K$2)</f>
        <v>2983110</v>
      </c>
      <c r="F6" s="48">
        <f t="shared" si="0"/>
        <v>10944677</v>
      </c>
      <c r="G6" s="19">
        <f>SUMIFS(INDEX(Data_Detail_OLD[],0,MATCH(G$2,Data_Detail_OLD[#Headers],0)),Data_Detail_OLD[AEA],$A6,Data_Detail_OLD[FiscalYear],$K$2)+2</f>
        <v>3738306</v>
      </c>
      <c r="H6" s="19">
        <f>SUMIFS(INDEX(Data_Detail_OLD[],0,MATCH(H$2,Data_Detail_OLD[#Headers],0)),Data_Detail_OLD[AEA],$A6,Data_Detail_OLD[FiscalYear],$K$2)</f>
        <v>84238</v>
      </c>
      <c r="I6" s="47">
        <f t="shared" si="1"/>
        <v>14767221</v>
      </c>
      <c r="K6" s="6">
        <f>H12+G12+F12-I12</f>
        <v>0</v>
      </c>
    </row>
    <row r="7" spans="1:11" x14ac:dyDescent="0.25">
      <c r="A7" s="18" t="str">
        <f>Data!A6</f>
        <v>10</v>
      </c>
      <c r="B7" s="11" t="str">
        <f>INDEX(Data_Detail_OLD[],MATCH('PaymentCodingTotal-old'!$A7,Data_Detail_OLD[AEA],0),3)</f>
        <v>Grant Wood AEA 10</v>
      </c>
      <c r="C7" s="12">
        <f>SUMIFS(INDEX(Data_Detail_OLD[],0,MATCH(C$2,Data_Detail_OLD[#Headers],0)),Data_Detail_OLD[AEA],$A7,Data_Detail_OLD[FiscalYear],$K$2)</f>
        <v>26987736</v>
      </c>
      <c r="D7" s="12">
        <f>SUMIFS(INDEX(Data_Detail_OLD[],0,MATCH(D$2,Data_Detail_OLD[#Headers],0)),Data_Detail_OLD[AEA],$A7,Data_Detail_OLD[FiscalYear],$K$2)-3</f>
        <v>21394230</v>
      </c>
      <c r="E7" s="12">
        <f>SUMIFS(INDEX(Data_Detail_OLD[],0,MATCH(E$2,Data_Detail_OLD[#Headers],0)),Data_Detail_OLD[AEA],$A7,Data_Detail_OLD[FiscalYear],$K$2)</f>
        <v>4582301</v>
      </c>
      <c r="F7" s="48">
        <f t="shared" si="0"/>
        <v>16811929</v>
      </c>
      <c r="G7" s="19">
        <f>SUMIFS(INDEX(Data_Detail_OLD[],0,MATCH(G$2,Data_Detail_OLD[#Headers],0)),Data_Detail_OLD[AEA],$A7,Data_Detail_OLD[FiscalYear],$K$2)+3</f>
        <v>5593506</v>
      </c>
      <c r="H7" s="19">
        <f>SUMIFS(INDEX(Data_Detail_OLD[],0,MATCH(H$2,Data_Detail_OLD[#Headers],0)),Data_Detail_OLD[AEA],$A7,Data_Detail_OLD[FiscalYear],$K$2)</f>
        <v>140219</v>
      </c>
      <c r="I7" s="47">
        <f t="shared" si="1"/>
        <v>22545654</v>
      </c>
      <c r="K7" s="6">
        <f>C24+D24-E24</f>
        <v>0</v>
      </c>
    </row>
    <row r="8" spans="1:11" x14ac:dyDescent="0.25">
      <c r="A8" s="18" t="str">
        <f>Data!A7</f>
        <v>11</v>
      </c>
      <c r="B8" s="11" t="str">
        <f>INDEX(Data_Detail_OLD[],MATCH('PaymentCodingTotal-old'!$A8,Data_Detail_OLD[AEA],0),3)</f>
        <v>Heartland AEA 11</v>
      </c>
      <c r="C8" s="12">
        <f>SUMIFS(INDEX(Data_Detail_OLD[],0,MATCH(C$2,Data_Detail_OLD[#Headers],0)),Data_Detail_OLD[AEA],$A8,Data_Detail_OLD[FiscalYear],$K$2)</f>
        <v>55239348</v>
      </c>
      <c r="D8" s="12">
        <f>SUMIFS(INDEX(Data_Detail_OLD[],0,MATCH(D$2,Data_Detail_OLD[#Headers],0)),Data_Detail_OLD[AEA],$A8,Data_Detail_OLD[FiscalYear],$K$2)</f>
        <v>44701993</v>
      </c>
      <c r="E8" s="12">
        <f>SUMIFS(INDEX(Data_Detail_OLD[],0,MATCH(E$2,Data_Detail_OLD[#Headers],0)),Data_Detail_OLD[AEA],$A8,Data_Detail_OLD[FiscalYear],$K$2)</f>
        <v>9574454</v>
      </c>
      <c r="F8" s="48">
        <f t="shared" si="0"/>
        <v>35127539</v>
      </c>
      <c r="G8" s="19">
        <f>SUMIFS(INDEX(Data_Detail_OLD[],0,MATCH(G$2,Data_Detail_OLD[#Headers],0)),Data_Detail_OLD[AEA],$A8,Data_Detail_OLD[FiscalYear],$K$2)</f>
        <v>10537355</v>
      </c>
      <c r="H8" s="19">
        <f>SUMIFS(INDEX(Data_Detail_OLD[],0,MATCH(H$2,Data_Detail_OLD[#Headers],0)),Data_Detail_OLD[AEA],$A8,Data_Detail_OLD[FiscalYear],$K$2)</f>
        <v>116312</v>
      </c>
      <c r="I8" s="47">
        <f t="shared" si="1"/>
        <v>45781206</v>
      </c>
    </row>
    <row r="9" spans="1:11" x14ac:dyDescent="0.25">
      <c r="A9" s="18" t="str">
        <f>Data!A8</f>
        <v>12</v>
      </c>
      <c r="B9" s="11" t="str">
        <f>INDEX(Data_Detail_OLD[],MATCH('PaymentCodingTotal-old'!$A9,Data_Detail_OLD[AEA],0),3)</f>
        <v>Northwest AEA</v>
      </c>
      <c r="C9" s="12">
        <f>SUMIFS(INDEX(Data_Detail_OLD[],0,MATCH(C$2,Data_Detail_OLD[#Headers],0)),Data_Detail_OLD[AEA],$A9,Data_Detail_OLD[FiscalYear],$K$2)</f>
        <v>16002942</v>
      </c>
      <c r="D9" s="12">
        <f>SUMIFS(INDEX(Data_Detail_OLD[],0,MATCH(D$2,Data_Detail_OLD[#Headers],0)),Data_Detail_OLD[AEA],$A9,Data_Detail_OLD[FiscalYear],$K$2)+2</f>
        <v>12417242</v>
      </c>
      <c r="E9" s="12">
        <f>SUMIFS(INDEX(Data_Detail_OLD[],0,MATCH(E$2,Data_Detail_OLD[#Headers],0)),Data_Detail_OLD[AEA],$A9,Data_Detail_OLD[FiscalYear],$K$2)</f>
        <v>2659575</v>
      </c>
      <c r="F9" s="48">
        <f t="shared" si="0"/>
        <v>9757667</v>
      </c>
      <c r="G9" s="19">
        <f>SUMIFS(INDEX(Data_Detail_OLD[],0,MATCH(G$2,Data_Detail_OLD[#Headers],0)),Data_Detail_OLD[AEA],$A9,Data_Detail_OLD[FiscalYear],$K$2)-2</f>
        <v>3585700</v>
      </c>
      <c r="H9" s="19">
        <f>SUMIFS(INDEX(Data_Detail_OLD[],0,MATCH(H$2,Data_Detail_OLD[#Headers],0)),Data_Detail_OLD[AEA],$A9,Data_Detail_OLD[FiscalYear],$K$2)</f>
        <v>106969</v>
      </c>
      <c r="I9" s="47">
        <f t="shared" si="1"/>
        <v>13450336</v>
      </c>
    </row>
    <row r="10" spans="1:11" x14ac:dyDescent="0.25">
      <c r="A10" s="18" t="str">
        <f>Data!A9</f>
        <v>13</v>
      </c>
      <c r="B10" s="11" t="str">
        <f>INDEX(Data_Detail_OLD[],MATCH('PaymentCodingTotal-old'!$A10,Data_Detail_OLD[AEA],0),3)</f>
        <v>Green Hills AEA 13</v>
      </c>
      <c r="C10" s="12">
        <f>SUMIFS(INDEX(Data_Detail_OLD[],0,MATCH(C$2,Data_Detail_OLD[#Headers],0)),Data_Detail_OLD[AEA],$A10,Data_Detail_OLD[FiscalYear],$K$2)</f>
        <v>14688682</v>
      </c>
      <c r="D10" s="12">
        <f>SUMIFS(INDEX(Data_Detail_OLD[],0,MATCH(D$2,Data_Detail_OLD[#Headers],0)),Data_Detail_OLD[AEA],$A10,Data_Detail_OLD[FiscalYear],$K$2)+1</f>
        <v>11612277</v>
      </c>
      <c r="E10" s="12">
        <f>SUMIFS(INDEX(Data_Detail_OLD[],0,MATCH(E$2,Data_Detail_OLD[#Headers],0)),Data_Detail_OLD[AEA],$A10,Data_Detail_OLD[FiscalYear],$K$2)</f>
        <v>2487165</v>
      </c>
      <c r="F10" s="48">
        <f t="shared" si="0"/>
        <v>9125112</v>
      </c>
      <c r="G10" s="19">
        <f>SUMIFS(INDEX(Data_Detail_OLD[],0,MATCH(G$2,Data_Detail_OLD[#Headers],0)),Data_Detail_OLD[AEA],$A10,Data_Detail_OLD[FiscalYear],$K$2)-1</f>
        <v>3076405</v>
      </c>
      <c r="H10" s="19">
        <f>SUMIFS(INDEX(Data_Detail_OLD[],0,MATCH(H$2,Data_Detail_OLD[#Headers],0)),Data_Detail_OLD[AEA],$A10,Data_Detail_OLD[FiscalYear],$K$2)</f>
        <v>172236</v>
      </c>
      <c r="I10" s="47">
        <f t="shared" si="1"/>
        <v>12373753</v>
      </c>
    </row>
    <row r="11" spans="1:11" x14ac:dyDescent="0.25">
      <c r="A11" s="18" t="str">
        <f>Data!A10</f>
        <v>15</v>
      </c>
      <c r="B11" s="11" t="str">
        <f>INDEX(Data_Detail_OLD[],MATCH('PaymentCodingTotal-old'!$A11,Data_Detail_OLD[AEA],0),3)</f>
        <v>Great Prairie AEA 15</v>
      </c>
      <c r="C11" s="12">
        <f>SUMIFS(INDEX(Data_Detail_OLD[],0,MATCH(C$2,Data_Detail_OLD[#Headers],0)),Data_Detail_OLD[AEA],$A11,Data_Detail_OLD[FiscalYear],$K$2)</f>
        <v>13135510</v>
      </c>
      <c r="D11" s="12">
        <f>SUMIFS(INDEX(Data_Detail_OLD[],0,MATCH(D$2,Data_Detail_OLD[#Headers],0)),Data_Detail_OLD[AEA],$A11,Data_Detail_OLD[FiscalYear],$K$2)+2</f>
        <v>10463522</v>
      </c>
      <c r="E11" s="12">
        <f>SUMIFS(INDEX(Data_Detail_OLD[],0,MATCH(E$2,Data_Detail_OLD[#Headers],0)),Data_Detail_OLD[AEA],$A11,Data_Detail_OLD[FiscalYear],$K$2)</f>
        <v>2241120</v>
      </c>
      <c r="F11" s="48">
        <f t="shared" si="0"/>
        <v>8222402</v>
      </c>
      <c r="G11" s="19">
        <f>SUMIFS(INDEX(Data_Detail_OLD[],0,MATCH(G$2,Data_Detail_OLD[#Headers],0)),Data_Detail_OLD[AEA],$A11,Data_Detail_OLD[FiscalYear],$K$2)-2</f>
        <v>2671988</v>
      </c>
      <c r="H11" s="19">
        <f>SUMIFS(INDEX(Data_Detail_OLD[],0,MATCH(H$2,Data_Detail_OLD[#Headers],0)),Data_Detail_OLD[AEA],$A11,Data_Detail_OLD[FiscalYear],$K$2)</f>
        <v>131165</v>
      </c>
      <c r="I11" s="47">
        <f t="shared" si="1"/>
        <v>11025555</v>
      </c>
    </row>
    <row r="12" spans="1:11" ht="15.75" thickBot="1" x14ac:dyDescent="0.3">
      <c r="C12" s="13">
        <f>SUM(C3:C11)</f>
        <v>191818201</v>
      </c>
      <c r="D12" s="13">
        <f t="shared" ref="D12:I12" si="2">SUM(D3:D11)</f>
        <v>151738653</v>
      </c>
      <c r="E12" s="13">
        <f t="shared" si="2"/>
        <v>32500000</v>
      </c>
      <c r="F12" s="37">
        <f>SUM(F3:F11)</f>
        <v>119238653</v>
      </c>
      <c r="G12" s="15">
        <f t="shared" si="2"/>
        <v>40079548</v>
      </c>
      <c r="H12" s="15">
        <f>SUM(H3:H11)</f>
        <v>1172290</v>
      </c>
      <c r="I12" s="16">
        <f t="shared" si="2"/>
        <v>160490491</v>
      </c>
    </row>
    <row r="13" spans="1:11" ht="7.5" customHeight="1" thickTop="1" x14ac:dyDescent="0.25"/>
    <row r="14" spans="1:11" ht="45" x14ac:dyDescent="0.25">
      <c r="A14" s="17" t="str">
        <f t="shared" ref="A14:B23" si="3">A2</f>
        <v>AEA</v>
      </c>
      <c r="B14" s="17" t="str">
        <f t="shared" si="3"/>
        <v>AEA Name</v>
      </c>
      <c r="C14" s="21" t="str">
        <f>Data_Detail_OLD[[#Headers],[State Aid Portion Sharing Operations]]</f>
        <v>State Aid Portion Sharing Operations</v>
      </c>
      <c r="D14" s="9" t="str">
        <f>Data_Detail_OLD[[#Headers],[Sharing Operations Property Tax]]</f>
        <v>Sharing Operations Property Tax</v>
      </c>
      <c r="E14" s="9" t="str">
        <f>Data_Detail_OLD[[#Headers],[Total AEA Sharing Operations]]</f>
        <v>Total AEA Sharing Operations</v>
      </c>
      <c r="F14" s="21" t="str">
        <f>Data_Detail_OLD[[#Headers],[AEA Teacher Salary Supplement District Cost]]</f>
        <v>AEA Teacher Salary Supplement District Cost</v>
      </c>
      <c r="G14" s="32"/>
    </row>
    <row r="15" spans="1:11" x14ac:dyDescent="0.25">
      <c r="A15" s="11" t="str">
        <f t="shared" si="3"/>
        <v>01</v>
      </c>
      <c r="B15" s="11" t="str">
        <f t="shared" si="3"/>
        <v>Keystone AEA 1</v>
      </c>
      <c r="C15" s="22">
        <f>SUMIFS(INDEX(Data_Detail_OLD[],0,MATCH(C$14,Data_Detail_OLD[#Headers],0)),Data_Detail_OLD[AEA],$A15,Data_Detail_OLD[FiscalYear],$K$2)</f>
        <v>22789</v>
      </c>
      <c r="D15" s="19">
        <f>SUMIFS(INDEX(Data_Detail_OLD[],0,MATCH(D$14,Data_Detail_OLD[#Headers],0)),Data_Detail_OLD[AEA],$A15,Data_Detail_OLD[FiscalYear],$K$2)</f>
        <v>7211</v>
      </c>
      <c r="E15" s="50">
        <f>SUM(C15:D15)</f>
        <v>30000</v>
      </c>
      <c r="F15" s="22">
        <f>SUMIFS(INDEX(Data_Detail_OLD[],0,MATCH(F$14,Data_Detail_OLD[#Headers],0)),Data_Detail_OLD[AEA],$A15,Data_Detail_OLD[FiscalYear],$K$2)</f>
        <v>1151859</v>
      </c>
      <c r="G15" s="60"/>
    </row>
    <row r="16" spans="1:11" x14ac:dyDescent="0.25">
      <c r="A16" s="11" t="str">
        <f t="shared" si="3"/>
        <v>05</v>
      </c>
      <c r="B16" s="11" t="str">
        <f t="shared" si="3"/>
        <v>Prairie Lakes AEA 8</v>
      </c>
      <c r="C16" s="22">
        <f>SUMIFS(INDEX(Data_Detail_OLD[],0,MATCH(C$14,Data_Detail_OLD[#Headers],0)),Data_Detail_OLD[AEA],$A16,Data_Detail_OLD[FiscalYear],$K$2)</f>
        <v>0</v>
      </c>
      <c r="D16" s="19">
        <f>SUMIFS(INDEX(Data_Detail_OLD[],0,MATCH(D$14,Data_Detail_OLD[#Headers],0)),Data_Detail_OLD[AEA],$A16,Data_Detail_OLD[FiscalYear],$K$2)</f>
        <v>0</v>
      </c>
      <c r="E16" s="50">
        <f t="shared" ref="E16:E23" si="4">SUM(C16:D16)</f>
        <v>0</v>
      </c>
      <c r="F16" s="22">
        <f>SUMIFS(INDEX(Data_Detail_OLD[],0,MATCH(F$14,Data_Detail_OLD[#Headers],0)),Data_Detail_OLD[AEA],$A16,Data_Detail_OLD[FiscalYear],$K$2)</f>
        <v>1276124</v>
      </c>
      <c r="G16" s="60"/>
      <c r="H16" s="67" t="s">
        <v>77</v>
      </c>
    </row>
    <row r="17" spans="1:12" x14ac:dyDescent="0.25">
      <c r="A17" s="11" t="str">
        <f t="shared" si="3"/>
        <v>07</v>
      </c>
      <c r="B17" s="11" t="str">
        <f t="shared" si="3"/>
        <v>Central Rivers</v>
      </c>
      <c r="C17" s="22">
        <f>SUMIFS(INDEX(Data_Detail_OLD[],0,MATCH(C$14,Data_Detail_OLD[#Headers],0)),Data_Detail_OLD[AEA],$A17,Data_Detail_OLD[FiscalYear],$K$2)</f>
        <v>23488</v>
      </c>
      <c r="D17" s="19">
        <f>SUMIFS(INDEX(Data_Detail_OLD[],0,MATCH(D$14,Data_Detail_OLD[#Headers],0)),Data_Detail_OLD[AEA],$A17,Data_Detail_OLD[FiscalYear],$K$2)</f>
        <v>6512</v>
      </c>
      <c r="E17" s="50">
        <f t="shared" si="4"/>
        <v>30000</v>
      </c>
      <c r="F17" s="22">
        <f>SUMIFS(INDEX(Data_Detail_OLD[],0,MATCH(F$14,Data_Detail_OLD[#Headers],0)),Data_Detail_OLD[AEA],$A17,Data_Detail_OLD[FiscalYear],$K$2)</f>
        <v>3032137</v>
      </c>
      <c r="G17" s="60"/>
      <c r="H17" s="67"/>
    </row>
    <row r="18" spans="1:12" x14ac:dyDescent="0.25">
      <c r="A18" s="11" t="str">
        <f t="shared" si="3"/>
        <v>09</v>
      </c>
      <c r="B18" s="11" t="str">
        <f t="shared" si="3"/>
        <v>Mississippi Bend AEA 9</v>
      </c>
      <c r="C18" s="22">
        <f>SUMIFS(INDEX(Data_Detail_OLD[],0,MATCH(C$14,Data_Detail_OLD[#Headers],0)),Data_Detail_OLD[AEA],$A18,Data_Detail_OLD[FiscalYear],$K$2)</f>
        <v>23650</v>
      </c>
      <c r="D18" s="19">
        <f>SUMIFS(INDEX(Data_Detail_OLD[],0,MATCH(D$14,Data_Detail_OLD[#Headers],0)),Data_Detail_OLD[AEA],$A18,Data_Detail_OLD[FiscalYear],$K$2)</f>
        <v>6350</v>
      </c>
      <c r="E18" s="50">
        <f t="shared" si="4"/>
        <v>30000</v>
      </c>
      <c r="F18" s="22">
        <f>SUMIFS(INDEX(Data_Detail_OLD[],0,MATCH(F$14,Data_Detail_OLD[#Headers],0)),Data_Detail_OLD[AEA],$A18,Data_Detail_OLD[FiscalYear],$K$2)</f>
        <v>1634071</v>
      </c>
      <c r="G18" s="60"/>
      <c r="H18" s="68" t="s">
        <v>729</v>
      </c>
    </row>
    <row r="19" spans="1:12" x14ac:dyDescent="0.25">
      <c r="A19" s="11" t="str">
        <f t="shared" si="3"/>
        <v>10</v>
      </c>
      <c r="B19" s="11" t="str">
        <f t="shared" si="3"/>
        <v>Grant Wood AEA 10</v>
      </c>
      <c r="C19" s="22">
        <f>SUMIFS(INDEX(Data_Detail_OLD[],0,MATCH(C$14,Data_Detail_OLD[#Headers],0)),Data_Detail_OLD[AEA],$A19,Data_Detail_OLD[FiscalYear],$K$2)</f>
        <v>23785</v>
      </c>
      <c r="D19" s="19">
        <f>SUMIFS(INDEX(Data_Detail_OLD[],0,MATCH(D$14,Data_Detail_OLD[#Headers],0)),Data_Detail_OLD[AEA],$A19,Data_Detail_OLD[FiscalYear],$K$2)</f>
        <v>6216</v>
      </c>
      <c r="E19" s="50">
        <f t="shared" si="4"/>
        <v>30001</v>
      </c>
      <c r="F19" s="22">
        <f>SUMIFS(INDEX(Data_Detail_OLD[],0,MATCH(F$14,Data_Detail_OLD[#Headers],0)),Data_Detail_OLD[AEA],$A19,Data_Detail_OLD[FiscalYear],$K$2)</f>
        <v>2570057</v>
      </c>
      <c r="G19" s="60"/>
      <c r="H19" s="68"/>
    </row>
    <row r="20" spans="1:12" x14ac:dyDescent="0.25">
      <c r="A20" s="11" t="str">
        <f t="shared" si="3"/>
        <v>11</v>
      </c>
      <c r="B20" s="11" t="str">
        <f t="shared" si="3"/>
        <v>Heartland AEA 11</v>
      </c>
      <c r="C20" s="22">
        <f>SUMIFS(INDEX(Data_Detail_OLD[],0,MATCH(C$14,Data_Detail_OLD[#Headers],0)),Data_Detail_OLD[AEA],$A20,Data_Detail_OLD[FiscalYear],$K$2)</f>
        <v>0</v>
      </c>
      <c r="D20" s="19">
        <f>SUMIFS(INDEX(Data_Detail_OLD[],0,MATCH(D$14,Data_Detail_OLD[#Headers],0)),Data_Detail_OLD[AEA],$A20,Data_Detail_OLD[FiscalYear],$K$2)</f>
        <v>0</v>
      </c>
      <c r="E20" s="50">
        <f t="shared" si="4"/>
        <v>0</v>
      </c>
      <c r="F20" s="22">
        <f>SUMIFS(INDEX(Data_Detail_OLD[],0,MATCH(F$14,Data_Detail_OLD[#Headers],0)),Data_Detail_OLD[AEA],$A20,Data_Detail_OLD[FiscalYear],$K$2)</f>
        <v>4753653</v>
      </c>
      <c r="G20" s="60"/>
    </row>
    <row r="21" spans="1:12" x14ac:dyDescent="0.25">
      <c r="A21" s="11" t="str">
        <f t="shared" si="3"/>
        <v>12</v>
      </c>
      <c r="B21" s="11" t="str">
        <f t="shared" si="3"/>
        <v>Northwest AEA</v>
      </c>
      <c r="C21" s="22">
        <f>SUMIFS(INDEX(Data_Detail_OLD[],0,MATCH(C$14,Data_Detail_OLD[#Headers],0)),Data_Detail_OLD[AEA],$A21,Data_Detail_OLD[FiscalYear],$K$2)</f>
        <v>23274</v>
      </c>
      <c r="D21" s="19">
        <f>SUMIFS(INDEX(Data_Detail_OLD[],0,MATCH(D$14,Data_Detail_OLD[#Headers],0)),Data_Detail_OLD[AEA],$A21,Data_Detail_OLD[FiscalYear],$K$2)</f>
        <v>6726</v>
      </c>
      <c r="E21" s="50">
        <f t="shared" si="4"/>
        <v>30000</v>
      </c>
      <c r="F21" s="22">
        <f>SUMIFS(INDEX(Data_Detail_OLD[],0,MATCH(F$14,Data_Detail_OLD[#Headers],0)),Data_Detail_OLD[AEA],$A21,Data_Detail_OLD[FiscalYear],$K$2)</f>
        <v>1619590</v>
      </c>
      <c r="G21" s="60"/>
    </row>
    <row r="22" spans="1:12" x14ac:dyDescent="0.25">
      <c r="A22" s="11" t="str">
        <f t="shared" si="3"/>
        <v>13</v>
      </c>
      <c r="B22" s="11" t="str">
        <f t="shared" si="3"/>
        <v>Green Hills AEA 13</v>
      </c>
      <c r="C22" s="22">
        <f>SUMIFS(INDEX(Data_Detail_OLD[],0,MATCH(C$14,Data_Detail_OLD[#Headers],0)),Data_Detail_OLD[AEA],$A22,Data_Detail_OLD[FiscalYear],$K$2)</f>
        <v>23715</v>
      </c>
      <c r="D22" s="19">
        <f>SUMIFS(INDEX(Data_Detail_OLD[],0,MATCH(D$14,Data_Detail_OLD[#Headers],0)),Data_Detail_OLD[AEA],$A22,Data_Detail_OLD[FiscalYear],$K$2)</f>
        <v>6285</v>
      </c>
      <c r="E22" s="50">
        <f t="shared" si="4"/>
        <v>30000</v>
      </c>
      <c r="F22" s="22">
        <f>SUMIFS(INDEX(Data_Detail_OLD[],0,MATCH(F$14,Data_Detail_OLD[#Headers],0)),Data_Detail_OLD[AEA],$A22,Data_Detail_OLD[FiscalYear],$K$2)</f>
        <v>1519471</v>
      </c>
      <c r="G22" s="60"/>
    </row>
    <row r="23" spans="1:12" x14ac:dyDescent="0.25">
      <c r="A23" s="11" t="str">
        <f t="shared" si="3"/>
        <v>15</v>
      </c>
      <c r="B23" s="11" t="str">
        <f t="shared" si="3"/>
        <v>Great Prairie AEA 15</v>
      </c>
      <c r="C23" s="22">
        <f>SUMIFS(INDEX(Data_Detail_OLD[],0,MATCH(C$14,Data_Detail_OLD[#Headers],0)),Data_Detail_OLD[AEA],$A23,Data_Detail_OLD[FiscalYear],$K$2)</f>
        <v>23898</v>
      </c>
      <c r="D23" s="19">
        <f>SUMIFS(INDEX(Data_Detail_OLD[],0,MATCH(D$14,Data_Detail_OLD[#Headers],0)),Data_Detail_OLD[AEA],$A23,Data_Detail_OLD[FiscalYear],$K$2)</f>
        <v>6104</v>
      </c>
      <c r="E23" s="50">
        <f t="shared" si="4"/>
        <v>30002</v>
      </c>
      <c r="F23" s="22">
        <f>SUMIFS(INDEX(Data_Detail_OLD[],0,MATCH(F$14,Data_Detail_OLD[#Headers],0)),Data_Detail_OLD[AEA],$A23,Data_Detail_OLD[FiscalYear],$K$2)</f>
        <v>1327569</v>
      </c>
      <c r="G23" s="60"/>
    </row>
    <row r="24" spans="1:12" ht="15.75" thickBot="1" x14ac:dyDescent="0.3">
      <c r="C24" s="14">
        <f>SUM(C15:C23)</f>
        <v>164599</v>
      </c>
      <c r="D24" s="15">
        <f>SUM(D15:D23)</f>
        <v>45404</v>
      </c>
      <c r="E24" s="20">
        <f>SUM(E15:E23)</f>
        <v>210003</v>
      </c>
      <c r="F24" s="23">
        <f>SUM(F15:F23)</f>
        <v>18884531</v>
      </c>
      <c r="G24" s="6"/>
      <c r="K24" s="69" t="s">
        <v>733</v>
      </c>
      <c r="L24" s="71" t="s">
        <v>731</v>
      </c>
    </row>
    <row r="25" spans="1:12" ht="7.5" customHeight="1" thickTop="1" x14ac:dyDescent="0.25">
      <c r="F25" s="6"/>
      <c r="G25" s="6"/>
      <c r="H25" s="6"/>
      <c r="K25" s="69"/>
      <c r="L25" s="71"/>
    </row>
    <row r="26" spans="1:12" ht="30" customHeight="1" x14ac:dyDescent="0.25">
      <c r="A26" s="17" t="str">
        <f t="shared" ref="A26:B35" si="5">A14</f>
        <v>AEA</v>
      </c>
      <c r="B26" s="17" t="str">
        <f t="shared" si="5"/>
        <v>AEA Name</v>
      </c>
      <c r="C26" s="9" t="str">
        <f>Data_Detail_OLD[[#Headers],[AEA Media Services District Cost]]</f>
        <v>AEA Media Services District Cost</v>
      </c>
      <c r="D26" s="9" t="str">
        <f>Data_Detail_OLD[[#Headers],[AEA Ed Services District Cost]]</f>
        <v>AEA Ed Services District Cost</v>
      </c>
      <c r="E26" s="8" t="str">
        <f>Data_Detail_OLD[[#Headers],[Total Budget]]</f>
        <v>Total Budget</v>
      </c>
      <c r="F26" s="21" t="str">
        <f>Data_Detail_OLD[[#Headers],[State Aid Portion]]</f>
        <v>State Aid Portion</v>
      </c>
      <c r="G26" s="9" t="str">
        <f>Data_Detail_OLD[[#Headers],[Property Tax Portion]]</f>
        <v>Property Tax Portion</v>
      </c>
      <c r="K26" s="70"/>
      <c r="L26" s="72"/>
    </row>
    <row r="27" spans="1:12" x14ac:dyDescent="0.25">
      <c r="A27" s="11" t="str">
        <f t="shared" si="5"/>
        <v>01</v>
      </c>
      <c r="B27" s="11" t="str">
        <f t="shared" si="5"/>
        <v>Keystone AEA 1</v>
      </c>
      <c r="C27" s="19">
        <f>SUMIFS(INDEX(Data_Detail_OLD[],0,MATCH(C$26,Data_Detail_OLD[#Headers],0)),Data_Detail_OLD[AEA],$A27,Data_Detail_OLD[FiscalYear],$K$2)</f>
        <v>2054647</v>
      </c>
      <c r="D27" s="19">
        <f>SUMIFS(INDEX(Data_Detail_OLD[],0,MATCH(D$26,Data_Detail_OLD[#Headers],0)),Data_Detail_OLD[AEA],$A27,Data_Detail_OLD[FiscalYear],$K$2)</f>
        <v>2288574</v>
      </c>
      <c r="E27" s="47">
        <f>SUMIFS(INDEX(Data_Detail_OLD[],0,MATCH(E$26,Data_Detail_OLD[#Headers],0)),Data_Detail_OLD[AEA],$A27,Data_Detail_OLD[FiscalYear],$K$2)</f>
        <v>15264730</v>
      </c>
      <c r="F27" s="48">
        <f>SUMIFS(INDEX(Data_Detail_OLD[],0,MATCH(F$26,Data_Detail_OLD[#Headers],0)),Data_Detail_OLD[AEA],$A27,Data_Detail_OLD[FiscalYear],$K$2)</f>
        <v>8085079</v>
      </c>
      <c r="G27" s="50">
        <f>SUMIFS(INDEX(Data_Detail_OLD[],0,MATCH(G$26,Data_Detail_OLD[#Headers],0)),Data_Detail_OLD[AEA],$A27,Data_Detail_OLD[FiscalYear],$K$2)</f>
        <v>7179651</v>
      </c>
      <c r="J27" s="6"/>
      <c r="K27" s="6">
        <f t="shared" ref="K27:K35" si="6">F27-G15-F15-C15-F3</f>
        <v>1</v>
      </c>
      <c r="L27" s="6">
        <f t="shared" ref="L27:L35" si="7">G27-D27-C27-D15-H3-G3</f>
        <v>-1</v>
      </c>
    </row>
    <row r="28" spans="1:12" x14ac:dyDescent="0.25">
      <c r="A28" s="11" t="str">
        <f t="shared" si="5"/>
        <v>05</v>
      </c>
      <c r="B28" s="11" t="str">
        <f t="shared" si="5"/>
        <v>Prairie Lakes AEA 8</v>
      </c>
      <c r="C28" s="19">
        <f>SUMIFS(INDEX(Data_Detail_OLD[],0,MATCH(C$26,Data_Detail_OLD[#Headers],0)),Data_Detail_OLD[AEA],$A28,Data_Detail_OLD[FiscalYear],$K$2)</f>
        <v>2078923</v>
      </c>
      <c r="D28" s="19">
        <f>SUMIFS(INDEX(Data_Detail_OLD[],0,MATCH(D$26,Data_Detail_OLD[#Headers],0)),Data_Detail_OLD[AEA],$A28,Data_Detail_OLD[FiscalYear],$K$2)</f>
        <v>2327732</v>
      </c>
      <c r="E28" s="47">
        <f>SUMIFS(INDEX(Data_Detail_OLD[],0,MATCH(E$26,Data_Detail_OLD[#Headers],0)),Data_Detail_OLD[AEA],$A28,Data_Detail_OLD[FiscalYear],$K$2)</f>
        <v>15842151</v>
      </c>
      <c r="F28" s="48">
        <f>SUMIFS(INDEX(Data_Detail_OLD[],0,MATCH(F$26,Data_Detail_OLD[#Headers],0)),Data_Detail_OLD[AEA],$A28,Data_Detail_OLD[FiscalYear],$K$2)</f>
        <v>8500905</v>
      </c>
      <c r="G28" s="50">
        <f>SUMIFS(INDEX(Data_Detail_OLD[],0,MATCH(G$26,Data_Detail_OLD[#Headers],0)),Data_Detail_OLD[AEA],$A28,Data_Detail_OLD[FiscalYear],$K$2)</f>
        <v>7341246</v>
      </c>
      <c r="J28" s="6"/>
      <c r="K28" s="6">
        <f t="shared" si="6"/>
        <v>0</v>
      </c>
      <c r="L28" s="6">
        <f t="shared" si="7"/>
        <v>0</v>
      </c>
    </row>
    <row r="29" spans="1:12" x14ac:dyDescent="0.25">
      <c r="A29" s="11" t="str">
        <f t="shared" si="5"/>
        <v>07</v>
      </c>
      <c r="B29" s="11" t="str">
        <f t="shared" si="5"/>
        <v>Central Rivers</v>
      </c>
      <c r="C29" s="19">
        <f>SUMIFS(INDEX(Data_Detail_OLD[],0,MATCH(C$26,Data_Detail_OLD[#Headers],0)),Data_Detail_OLD[AEA],$A29,Data_Detail_OLD[FiscalYear],$K$2)</f>
        <v>4184307</v>
      </c>
      <c r="D29" s="19">
        <f>SUMIFS(INDEX(Data_Detail_OLD[],0,MATCH(D$26,Data_Detail_OLD[#Headers],0)),Data_Detail_OLD[AEA],$A29,Data_Detail_OLD[FiscalYear],$K$2)</f>
        <v>4664326</v>
      </c>
      <c r="E29" s="47">
        <f>SUMIFS(INDEX(Data_Detail_OLD[],0,MATCH(E$26,Data_Detail_OLD[#Headers],0)),Data_Detail_OLD[AEA],$A29,Data_Detail_OLD[FiscalYear],$K$2)</f>
        <v>32558514</v>
      </c>
      <c r="F29" s="48">
        <f>SUMIFS(INDEX(Data_Detail_OLD[],0,MATCH(F$26,Data_Detail_OLD[#Headers],0)),Data_Detail_OLD[AEA],$A29,Data_Detail_OLD[FiscalYear],$K$2)</f>
        <v>18169747</v>
      </c>
      <c r="G29" s="50">
        <f>SUMIFS(INDEX(Data_Detail_OLD[],0,MATCH(G$26,Data_Detail_OLD[#Headers],0)),Data_Detail_OLD[AEA],$A29,Data_Detail_OLD[FiscalYear],$K$2)</f>
        <v>14388767</v>
      </c>
      <c r="J29" s="6"/>
      <c r="K29" s="6">
        <f t="shared" si="6"/>
        <v>6</v>
      </c>
      <c r="L29" s="6">
        <f t="shared" si="7"/>
        <v>-6</v>
      </c>
    </row>
    <row r="30" spans="1:12" x14ac:dyDescent="0.25">
      <c r="A30" s="11" t="str">
        <f t="shared" si="5"/>
        <v>09</v>
      </c>
      <c r="B30" s="11" t="str">
        <f t="shared" si="5"/>
        <v>Mississippi Bend AEA 9</v>
      </c>
      <c r="C30" s="19">
        <f>SUMIFS(INDEX(Data_Detail_OLD[],0,MATCH(C$26,Data_Detail_OLD[#Headers],0)),Data_Detail_OLD[AEA],$A30,Data_Detail_OLD[FiscalYear],$K$2)</f>
        <v>3079492</v>
      </c>
      <c r="D30" s="19">
        <f>SUMIFS(INDEX(Data_Detail_OLD[],0,MATCH(D$26,Data_Detail_OLD[#Headers],0)),Data_Detail_OLD[AEA],$A30,Data_Detail_OLD[FiscalYear],$K$2)</f>
        <v>3367480</v>
      </c>
      <c r="E30" s="47">
        <f>SUMIFS(INDEX(Data_Detail_OLD[],0,MATCH(E$26,Data_Detail_OLD[#Headers],0)),Data_Detail_OLD[AEA],$A30,Data_Detail_OLD[FiscalYear],$K$2)</f>
        <v>22878264</v>
      </c>
      <c r="F30" s="48">
        <f>SUMIFS(INDEX(Data_Detail_OLD[],0,MATCH(F$26,Data_Detail_OLD[#Headers],0)),Data_Detail_OLD[AEA],$A30,Data_Detail_OLD[FiscalYear],$K$2)</f>
        <v>12602403</v>
      </c>
      <c r="G30" s="50">
        <f>SUMIFS(INDEX(Data_Detail_OLD[],0,MATCH(G$26,Data_Detail_OLD[#Headers],0)),Data_Detail_OLD[AEA],$A30,Data_Detail_OLD[FiscalYear],$K$2)</f>
        <v>10275861</v>
      </c>
      <c r="J30" s="6"/>
      <c r="K30" s="6">
        <f t="shared" si="6"/>
        <v>5</v>
      </c>
      <c r="L30" s="6">
        <f t="shared" si="7"/>
        <v>-5</v>
      </c>
    </row>
    <row r="31" spans="1:12" x14ac:dyDescent="0.25">
      <c r="A31" s="11" t="str">
        <f t="shared" si="5"/>
        <v>10</v>
      </c>
      <c r="B31" s="11" t="str">
        <f t="shared" si="5"/>
        <v>Grant Wood AEA 10</v>
      </c>
      <c r="C31" s="19">
        <f>SUMIFS(INDEX(Data_Detail_OLD[],0,MATCH(C$26,Data_Detail_OLD[#Headers],0)),Data_Detail_OLD[AEA],$A31,Data_Detail_OLD[FiscalYear],$K$2)</f>
        <v>4824899</v>
      </c>
      <c r="D31" s="19">
        <f>SUMIFS(INDEX(Data_Detail_OLD[],0,MATCH(D$26,Data_Detail_OLD[#Headers],0)),Data_Detail_OLD[AEA],$A31,Data_Detail_OLD[FiscalYear],$K$2)</f>
        <v>5306047</v>
      </c>
      <c r="E31" s="47">
        <f>SUMIFS(INDEX(Data_Detail_OLD[],0,MATCH(E$26,Data_Detail_OLD[#Headers],0)),Data_Detail_OLD[AEA],$A31,Data_Detail_OLD[FiscalYear],$K$2)</f>
        <v>35276658</v>
      </c>
      <c r="F31" s="48">
        <f>SUMIFS(INDEX(Data_Detail_OLD[],0,MATCH(F$26,Data_Detail_OLD[#Headers],0)),Data_Detail_OLD[AEA],$A31,Data_Detail_OLD[FiscalYear],$K$2)</f>
        <v>19405773</v>
      </c>
      <c r="G31" s="50">
        <f>SUMIFS(INDEX(Data_Detail_OLD[],0,MATCH(G$26,Data_Detail_OLD[#Headers],0)),Data_Detail_OLD[AEA],$A31,Data_Detail_OLD[FiscalYear],$K$2)</f>
        <v>15870885</v>
      </c>
      <c r="J31" s="6"/>
      <c r="K31" s="6">
        <f t="shared" si="6"/>
        <v>2</v>
      </c>
      <c r="L31" s="6">
        <f t="shared" si="7"/>
        <v>-2</v>
      </c>
    </row>
    <row r="32" spans="1:12" x14ac:dyDescent="0.25">
      <c r="A32" s="11" t="str">
        <f t="shared" si="5"/>
        <v>11</v>
      </c>
      <c r="B32" s="11" t="str">
        <f t="shared" si="5"/>
        <v>Heartland AEA 11</v>
      </c>
      <c r="C32" s="19">
        <f>SUMIFS(INDEX(Data_Detail_OLD[],0,MATCH(C$26,Data_Detail_OLD[#Headers],0)),Data_Detail_OLD[AEA],$A32,Data_Detail_OLD[FiscalYear],$K$2)</f>
        <v>9982152</v>
      </c>
      <c r="D32" s="19">
        <f>SUMIFS(INDEX(Data_Detail_OLD[],0,MATCH(D$26,Data_Detail_OLD[#Headers],0)),Data_Detail_OLD[AEA],$A32,Data_Detail_OLD[FiscalYear],$K$2)</f>
        <v>10970206</v>
      </c>
      <c r="E32" s="47">
        <f>SUMIFS(INDEX(Data_Detail_OLD[],0,MATCH(E$26,Data_Detail_OLD[#Headers],0)),Data_Detail_OLD[AEA],$A32,Data_Detail_OLD[FiscalYear],$K$2)</f>
        <v>71487217</v>
      </c>
      <c r="F32" s="48">
        <f>SUMIFS(INDEX(Data_Detail_OLD[],0,MATCH(F$26,Data_Detail_OLD[#Headers],0)),Data_Detail_OLD[AEA],$A32,Data_Detail_OLD[FiscalYear],$K$2)</f>
        <v>39881192</v>
      </c>
      <c r="G32" s="50">
        <f>SUMIFS(INDEX(Data_Detail_OLD[],0,MATCH(G$26,Data_Detail_OLD[#Headers],0)),Data_Detail_OLD[AEA],$A32,Data_Detail_OLD[FiscalYear],$K$2)</f>
        <v>31606025</v>
      </c>
      <c r="J32" s="6"/>
      <c r="K32" s="6">
        <f t="shared" si="6"/>
        <v>0</v>
      </c>
      <c r="L32" s="6">
        <f t="shared" si="7"/>
        <v>0</v>
      </c>
    </row>
    <row r="33" spans="1:12" x14ac:dyDescent="0.25">
      <c r="A33" s="11" t="str">
        <f t="shared" si="5"/>
        <v>12</v>
      </c>
      <c r="B33" s="11" t="str">
        <f t="shared" si="5"/>
        <v>Northwest AEA</v>
      </c>
      <c r="C33" s="19">
        <f>SUMIFS(INDEX(Data_Detail_OLD[],0,MATCH(C$26,Data_Detail_OLD[#Headers],0)),Data_Detail_OLD[AEA],$A33,Data_Detail_OLD[FiscalYear],$K$2)</f>
        <v>2924618</v>
      </c>
      <c r="D33" s="19">
        <f>SUMIFS(INDEX(Data_Detail_OLD[],0,MATCH(D$26,Data_Detail_OLD[#Headers],0)),Data_Detail_OLD[AEA],$A33,Data_Detail_OLD[FiscalYear],$K$2)</f>
        <v>3273672</v>
      </c>
      <c r="E33" s="47">
        <f>SUMIFS(INDEX(Data_Detail_OLD[],0,MATCH(E$26,Data_Detail_OLD[#Headers],0)),Data_Detail_OLD[AEA],$A33,Data_Detail_OLD[FiscalYear],$K$2)</f>
        <v>21298216</v>
      </c>
      <c r="F33" s="48">
        <f>SUMIFS(INDEX(Data_Detail_OLD[],0,MATCH(F$26,Data_Detail_OLD[#Headers],0)),Data_Detail_OLD[AEA],$A33,Data_Detail_OLD[FiscalYear],$K$2)</f>
        <v>11400532</v>
      </c>
      <c r="G33" s="50">
        <f>SUMIFS(INDEX(Data_Detail_OLD[],0,MATCH(G$26,Data_Detail_OLD[#Headers],0)),Data_Detail_OLD[AEA],$A33,Data_Detail_OLD[FiscalYear],$K$2)</f>
        <v>9897684</v>
      </c>
      <c r="J33" s="6"/>
      <c r="K33" s="6">
        <f t="shared" si="6"/>
        <v>1</v>
      </c>
      <c r="L33" s="6">
        <f t="shared" si="7"/>
        <v>-1</v>
      </c>
    </row>
    <row r="34" spans="1:12" x14ac:dyDescent="0.25">
      <c r="A34" s="11" t="str">
        <f t="shared" si="5"/>
        <v>13</v>
      </c>
      <c r="B34" s="11" t="str">
        <f t="shared" si="5"/>
        <v>Green Hills AEA 13</v>
      </c>
      <c r="C34" s="19">
        <f>SUMIFS(INDEX(Data_Detail_OLD[],0,MATCH(C$26,Data_Detail_OLD[#Headers],0)),Data_Detail_OLD[AEA],$A34,Data_Detail_OLD[FiscalYear],$K$2)</f>
        <v>2423216</v>
      </c>
      <c r="D34" s="19">
        <f>SUMIFS(INDEX(Data_Detail_OLD[],0,MATCH(D$26,Data_Detail_OLD[#Headers],0)),Data_Detail_OLD[AEA],$A34,Data_Detail_OLD[FiscalYear],$K$2)</f>
        <v>2679373</v>
      </c>
      <c r="E34" s="47">
        <f>SUMIFS(INDEX(Data_Detail_OLD[],0,MATCH(E$26,Data_Detail_OLD[#Headers],0)),Data_Detail_OLD[AEA],$A34,Data_Detail_OLD[FiscalYear],$K$2)</f>
        <v>19025813</v>
      </c>
      <c r="F34" s="48">
        <f>SUMIFS(INDEX(Data_Detail_OLD[],0,MATCH(F$26,Data_Detail_OLD[#Headers],0)),Data_Detail_OLD[AEA],$A34,Data_Detail_OLD[FiscalYear],$K$2)</f>
        <v>10668294</v>
      </c>
      <c r="G34" s="50">
        <f>SUMIFS(INDEX(Data_Detail_OLD[],0,MATCH(G$26,Data_Detail_OLD[#Headers],0)),Data_Detail_OLD[AEA],$A34,Data_Detail_OLD[FiscalYear],$K$2)</f>
        <v>8357519</v>
      </c>
      <c r="J34" s="6"/>
      <c r="K34" s="6">
        <f t="shared" si="6"/>
        <v>-4</v>
      </c>
      <c r="L34" s="6">
        <f t="shared" si="7"/>
        <v>4</v>
      </c>
    </row>
    <row r="35" spans="1:12" x14ac:dyDescent="0.25">
      <c r="A35" s="11" t="str">
        <f t="shared" si="5"/>
        <v>15</v>
      </c>
      <c r="B35" s="11" t="str">
        <f t="shared" si="5"/>
        <v>Great Prairie AEA 15</v>
      </c>
      <c r="C35" s="19">
        <f>SUMIFS(INDEX(Data_Detail_OLD[],0,MATCH(C$26,Data_Detail_OLD[#Headers],0)),Data_Detail_OLD[AEA],$A35,Data_Detail_OLD[FiscalYear],$K$2)</f>
        <v>2245666</v>
      </c>
      <c r="D35" s="19">
        <f>SUMIFS(INDEX(Data_Detail_OLD[],0,MATCH(D$26,Data_Detail_OLD[#Headers],0)),Data_Detail_OLD[AEA],$A35,Data_Detail_OLD[FiscalYear],$K$2)</f>
        <v>2469337</v>
      </c>
      <c r="E35" s="47">
        <f>SUMIFS(INDEX(Data_Detail_OLD[],0,MATCH(E$26,Data_Detail_OLD[#Headers],0)),Data_Detail_OLD[AEA],$A35,Data_Detail_OLD[FiscalYear],$K$2)</f>
        <v>17098129</v>
      </c>
      <c r="F35" s="48">
        <f>SUMIFS(INDEX(Data_Detail_OLD[],0,MATCH(F$26,Data_Detail_OLD[#Headers],0)),Data_Detail_OLD[AEA],$A35,Data_Detail_OLD[FiscalYear],$K$2)</f>
        <v>9573868</v>
      </c>
      <c r="G35" s="54">
        <f>SUMIFS(INDEX(Data_Detail_OLD[],0,MATCH(G$26,Data_Detail_OLD[#Headers],0)),Data_Detail_OLD[AEA],$A35,Data_Detail_OLD[FiscalYear],$K$2)</f>
        <v>7524261</v>
      </c>
      <c r="J35" s="6"/>
      <c r="K35" s="6">
        <f t="shared" si="6"/>
        <v>-1</v>
      </c>
      <c r="L35" s="6">
        <f t="shared" si="7"/>
        <v>1</v>
      </c>
    </row>
    <row r="36" spans="1:12" ht="15.75" thickBot="1" x14ac:dyDescent="0.3">
      <c r="C36" s="15">
        <f t="shared" ref="C36:E36" si="8">SUM(C27:C35)</f>
        <v>33797920</v>
      </c>
      <c r="D36" s="15">
        <f t="shared" si="8"/>
        <v>37346747</v>
      </c>
      <c r="E36" s="52">
        <f t="shared" si="8"/>
        <v>250729692</v>
      </c>
      <c r="F36" s="53">
        <f>SUM(F27:F35)</f>
        <v>138287793</v>
      </c>
      <c r="G36" s="55">
        <f>SUM(G27:G35)</f>
        <v>112441899</v>
      </c>
      <c r="K36" s="6"/>
      <c r="L36" s="6"/>
    </row>
    <row r="37" spans="1:12" ht="15.75" thickTop="1" x14ac:dyDescent="0.25"/>
    <row r="39" spans="1:12" x14ac:dyDescent="0.25">
      <c r="H39" s="6"/>
    </row>
  </sheetData>
  <sheetProtection sheet="1" objects="1" scenarios="1"/>
  <mergeCells count="5">
    <mergeCell ref="A1:I1"/>
    <mergeCell ref="H16:H17"/>
    <mergeCell ref="H18:H19"/>
    <mergeCell ref="K24:K26"/>
    <mergeCell ref="L24:L26"/>
  </mergeCells>
  <pageMargins left="0.25" right="0.25" top="0.75" bottom="0.75" header="0.3" footer="0.3"/>
  <pageSetup scale="77" orientation="landscape" r:id="rId1"/>
  <headerFooter>
    <oddFooter>&amp;LDepartment of Management&amp;R&amp;D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9F8FC-A663-44A5-9333-722F29252FB1}">
  <sheetPr>
    <tabColor rgb="FFFF0000"/>
    <pageSetUpPr fitToPage="1"/>
  </sheetPr>
  <dimension ref="A1:P29"/>
  <sheetViews>
    <sheetView topLeftCell="A2" workbookViewId="0">
      <selection activeCell="L16" sqref="L16:L26"/>
    </sheetView>
  </sheetViews>
  <sheetFormatPr defaultRowHeight="15" x14ac:dyDescent="0.25"/>
  <cols>
    <col min="1" max="1" width="7" customWidth="1"/>
    <col min="2" max="2" width="22.42578125" bestFit="1" customWidth="1"/>
    <col min="3" max="3" width="11.85546875" bestFit="1" customWidth="1"/>
    <col min="4" max="4" width="14.140625" customWidth="1"/>
    <col min="5" max="5" width="13.85546875" customWidth="1"/>
    <col min="6" max="6" width="11.42578125" bestFit="1" customWidth="1"/>
    <col min="7" max="8" width="12.28515625" bestFit="1" customWidth="1"/>
    <col min="9" max="9" width="11.42578125" customWidth="1"/>
    <col min="10" max="10" width="10.7109375" customWidth="1"/>
    <col min="11" max="11" width="15" customWidth="1"/>
    <col min="12" max="12" width="13.85546875" customWidth="1"/>
    <col min="13" max="13" width="17.7109375" customWidth="1"/>
    <col min="14" max="15" width="12.28515625" bestFit="1" customWidth="1"/>
    <col min="16" max="16" width="11.42578125" customWidth="1"/>
    <col min="17" max="17" width="10.7109375" customWidth="1"/>
  </cols>
  <sheetData>
    <row r="1" spans="1:16" s="10" customFormat="1" ht="87" hidden="1" customHeight="1" x14ac:dyDescent="0.25">
      <c r="A1" s="25"/>
      <c r="B1" s="25"/>
      <c r="C1" s="25" t="s">
        <v>747</v>
      </c>
      <c r="D1" s="25" t="s">
        <v>734</v>
      </c>
      <c r="E1" s="25" t="s">
        <v>748</v>
      </c>
      <c r="F1" s="25" t="s">
        <v>749</v>
      </c>
      <c r="G1" s="25" t="s">
        <v>750</v>
      </c>
      <c r="H1" s="25" t="s">
        <v>751</v>
      </c>
      <c r="I1" s="25" t="s">
        <v>752</v>
      </c>
      <c r="J1" s="25" t="s">
        <v>753</v>
      </c>
      <c r="K1" s="25" t="s">
        <v>754</v>
      </c>
    </row>
    <row r="2" spans="1:16" ht="25.5" customHeight="1" x14ac:dyDescent="0.25">
      <c r="B2" s="73" t="s">
        <v>756</v>
      </c>
      <c r="C2" s="73"/>
      <c r="D2" s="73"/>
      <c r="E2" s="73"/>
      <c r="F2" s="73"/>
      <c r="G2" s="73"/>
      <c r="H2" s="73"/>
      <c r="I2" s="73"/>
      <c r="J2" s="73"/>
    </row>
    <row r="3" spans="1:16" ht="31.5" customHeight="1" x14ac:dyDescent="0.25">
      <c r="A3" s="30" t="s">
        <v>46</v>
      </c>
      <c r="B3" s="30" t="s">
        <v>47</v>
      </c>
      <c r="C3" s="26" t="s">
        <v>735</v>
      </c>
      <c r="D3" s="26" t="s">
        <v>736</v>
      </c>
      <c r="E3" s="26" t="s">
        <v>737</v>
      </c>
      <c r="F3" s="26" t="s">
        <v>738</v>
      </c>
      <c r="G3" s="26" t="s">
        <v>739</v>
      </c>
      <c r="H3" s="26" t="s">
        <v>740</v>
      </c>
      <c r="I3" s="26" t="s">
        <v>741</v>
      </c>
      <c r="J3" s="31"/>
      <c r="K3" s="26" t="s">
        <v>736</v>
      </c>
      <c r="L3" s="26" t="s">
        <v>737</v>
      </c>
      <c r="M3" s="26" t="s">
        <v>738</v>
      </c>
      <c r="N3" s="26" t="s">
        <v>739</v>
      </c>
      <c r="O3" s="26" t="s">
        <v>740</v>
      </c>
      <c r="P3" s="26" t="s">
        <v>741</v>
      </c>
    </row>
    <row r="4" spans="1:16" x14ac:dyDescent="0.25">
      <c r="A4" t="s">
        <v>13</v>
      </c>
      <c r="B4" t="s">
        <v>48</v>
      </c>
      <c r="C4" s="27">
        <v>35.33</v>
      </c>
      <c r="D4" s="6">
        <v>11477381</v>
      </c>
      <c r="E4" s="6">
        <v>14190</v>
      </c>
      <c r="F4" s="6">
        <v>11491571</v>
      </c>
      <c r="G4" s="6">
        <v>807734</v>
      </c>
      <c r="H4" s="6">
        <v>899752</v>
      </c>
      <c r="I4" s="6">
        <v>30001</v>
      </c>
      <c r="K4" s="6">
        <f>D4-'PaymentCodingTotal-old'!C3</f>
        <v>-98774</v>
      </c>
      <c r="L4" s="6">
        <f>E4-'PaymentCodingTotal-old'!H3</f>
        <v>-32828</v>
      </c>
      <c r="N4" s="6">
        <f>G4-'PaymentCodingTotal-old'!C27</f>
        <v>-1246913</v>
      </c>
      <c r="O4" s="6">
        <f>H4-'PaymentCodingTotal-old'!D27</f>
        <v>-1388822</v>
      </c>
      <c r="P4" s="6">
        <f>I4-'PaymentCodingTotal-old'!E15</f>
        <v>1</v>
      </c>
    </row>
    <row r="5" spans="1:16" x14ac:dyDescent="0.25">
      <c r="A5" t="s">
        <v>14</v>
      </c>
      <c r="B5" t="s">
        <v>49</v>
      </c>
      <c r="C5" s="27">
        <v>37.29</v>
      </c>
      <c r="D5" s="6">
        <v>11854900</v>
      </c>
      <c r="E5" s="6">
        <v>138167</v>
      </c>
      <c r="F5" s="6">
        <v>11993067</v>
      </c>
      <c r="G5" s="6">
        <v>816737</v>
      </c>
      <c r="H5" s="6">
        <v>914643</v>
      </c>
      <c r="I5" s="6">
        <v>0</v>
      </c>
      <c r="K5" s="6">
        <f>D5-'PaymentCodingTotal-old'!C4</f>
        <v>-106282</v>
      </c>
      <c r="L5" s="6">
        <f>E5-'PaymentCodingTotal-old'!H4</f>
        <v>-29229</v>
      </c>
      <c r="N5" s="6">
        <f>G5-'PaymentCodingTotal-old'!C28</f>
        <v>-1262186</v>
      </c>
      <c r="O5" s="6">
        <f>H5-'PaymentCodingTotal-old'!D28</f>
        <v>-1413089</v>
      </c>
      <c r="P5" s="6">
        <f>I5-'PaymentCodingTotal-old'!E16</f>
        <v>0</v>
      </c>
    </row>
    <row r="6" spans="1:16" x14ac:dyDescent="0.25">
      <c r="A6" t="s">
        <v>15</v>
      </c>
      <c r="B6" t="s">
        <v>50</v>
      </c>
      <c r="C6" s="27">
        <v>42.56</v>
      </c>
      <c r="D6" s="6">
        <v>24281771</v>
      </c>
      <c r="E6" s="6">
        <v>120080</v>
      </c>
      <c r="F6" s="6">
        <v>24401851</v>
      </c>
      <c r="G6" s="6">
        <v>1645929</v>
      </c>
      <c r="H6" s="6">
        <v>1834892</v>
      </c>
      <c r="I6" s="6">
        <v>30000</v>
      </c>
      <c r="K6" s="6">
        <f>D6-'PaymentCodingTotal-old'!C5</f>
        <v>-278782</v>
      </c>
      <c r="L6" s="6">
        <f>E6-'PaymentCodingTotal-old'!H5</f>
        <v>-86657</v>
      </c>
      <c r="N6" s="6">
        <f>G6-'PaymentCodingTotal-old'!C29</f>
        <v>-2538378</v>
      </c>
      <c r="O6" s="6">
        <f>H6-'PaymentCodingTotal-old'!D29</f>
        <v>-2829434</v>
      </c>
      <c r="P6" s="6">
        <f>I6-'PaymentCodingTotal-old'!E17</f>
        <v>0</v>
      </c>
    </row>
    <row r="7" spans="1:16" x14ac:dyDescent="0.25">
      <c r="A7" t="s">
        <v>16</v>
      </c>
      <c r="B7" t="s">
        <v>51</v>
      </c>
      <c r="C7" s="27">
        <v>31.63</v>
      </c>
      <c r="D7" s="6">
        <v>17494746</v>
      </c>
      <c r="E7" s="6">
        <v>105832</v>
      </c>
      <c r="F7" s="6">
        <v>17600578</v>
      </c>
      <c r="G7" s="6">
        <v>1215736</v>
      </c>
      <c r="H7" s="6">
        <v>1329022</v>
      </c>
      <c r="I7" s="6">
        <v>30001</v>
      </c>
      <c r="K7" s="6">
        <f>D7-'PaymentCodingTotal-old'!C6</f>
        <v>-171347</v>
      </c>
      <c r="L7" s="6">
        <f>E7-'PaymentCodingTotal-old'!H6</f>
        <v>21594</v>
      </c>
      <c r="N7" s="6">
        <f>G7-'PaymentCodingTotal-old'!C30</f>
        <v>-1863756</v>
      </c>
      <c r="O7" s="6">
        <f>H7-'PaymentCodingTotal-old'!D30</f>
        <v>-2038458</v>
      </c>
      <c r="P7" s="6">
        <f>I7-'PaymentCodingTotal-old'!E18</f>
        <v>1</v>
      </c>
    </row>
    <row r="8" spans="1:16" x14ac:dyDescent="0.25">
      <c r="A8" t="s">
        <v>17</v>
      </c>
      <c r="B8" t="s">
        <v>52</v>
      </c>
      <c r="C8" s="27">
        <v>32.380000000000003</v>
      </c>
      <c r="D8" s="6">
        <v>26483224</v>
      </c>
      <c r="E8" s="6">
        <v>106540</v>
      </c>
      <c r="F8" s="6">
        <v>26589764</v>
      </c>
      <c r="G8" s="6">
        <v>1885841</v>
      </c>
      <c r="H8" s="6">
        <v>2073506</v>
      </c>
      <c r="I8" s="6">
        <v>30000</v>
      </c>
      <c r="K8" s="6">
        <f>D8-'PaymentCodingTotal-old'!C7</f>
        <v>-504512</v>
      </c>
      <c r="L8" s="6">
        <f>E8-'PaymentCodingTotal-old'!H7</f>
        <v>-33679</v>
      </c>
      <c r="N8" s="6">
        <f>G8-'PaymentCodingTotal-old'!C31</f>
        <v>-2939058</v>
      </c>
      <c r="O8" s="6">
        <f>H8-'PaymentCodingTotal-old'!D31</f>
        <v>-3232541</v>
      </c>
      <c r="P8" s="6">
        <f>I8-'PaymentCodingTotal-old'!E19</f>
        <v>-1</v>
      </c>
    </row>
    <row r="9" spans="1:16" x14ac:dyDescent="0.25">
      <c r="A9" t="s">
        <v>18</v>
      </c>
      <c r="B9" t="s">
        <v>53</v>
      </c>
      <c r="C9" s="27">
        <v>28.61</v>
      </c>
      <c r="D9" s="6">
        <v>53989595</v>
      </c>
      <c r="E9" s="6">
        <v>46909</v>
      </c>
      <c r="F9" s="6">
        <v>54036504</v>
      </c>
      <c r="G9" s="6">
        <v>3884077</v>
      </c>
      <c r="H9" s="6">
        <v>4267657</v>
      </c>
      <c r="I9" s="6">
        <v>0</v>
      </c>
      <c r="K9" s="6">
        <f>D9-'PaymentCodingTotal-old'!C8</f>
        <v>-1249753</v>
      </c>
      <c r="L9" s="6">
        <f>E9-'PaymentCodingTotal-old'!H8</f>
        <v>-69403</v>
      </c>
      <c r="N9" s="6">
        <f>G9-'PaymentCodingTotal-old'!C32</f>
        <v>-6098075</v>
      </c>
      <c r="O9" s="6">
        <f>H9-'PaymentCodingTotal-old'!D32</f>
        <v>-6702549</v>
      </c>
      <c r="P9" s="6">
        <f>I9-'PaymentCodingTotal-old'!E20</f>
        <v>0</v>
      </c>
    </row>
    <row r="10" spans="1:16" x14ac:dyDescent="0.25">
      <c r="A10" t="s">
        <v>19</v>
      </c>
      <c r="B10" t="s">
        <v>54</v>
      </c>
      <c r="C10" s="27">
        <v>35.17</v>
      </c>
      <c r="D10" s="6">
        <v>15768181</v>
      </c>
      <c r="E10" s="6">
        <v>79672</v>
      </c>
      <c r="F10" s="6">
        <v>15847853</v>
      </c>
      <c r="G10" s="6">
        <v>1150261</v>
      </c>
      <c r="H10" s="6">
        <v>1287750</v>
      </c>
      <c r="I10" s="6">
        <v>30000</v>
      </c>
      <c r="K10" s="6">
        <f>D10-'PaymentCodingTotal-old'!C9</f>
        <v>-234761</v>
      </c>
      <c r="L10" s="6">
        <f>E10-'PaymentCodingTotal-old'!H9</f>
        <v>-27297</v>
      </c>
      <c r="N10" s="6">
        <f>G10-'PaymentCodingTotal-old'!C33</f>
        <v>-1774357</v>
      </c>
      <c r="O10" s="6">
        <f>H10-'PaymentCodingTotal-old'!D33</f>
        <v>-1985922</v>
      </c>
      <c r="P10" s="6">
        <f>I10-'PaymentCodingTotal-old'!E21</f>
        <v>0</v>
      </c>
    </row>
    <row r="11" spans="1:16" x14ac:dyDescent="0.25">
      <c r="A11" t="s">
        <v>20</v>
      </c>
      <c r="B11" t="s">
        <v>55</v>
      </c>
      <c r="C11" s="27">
        <v>35.15</v>
      </c>
      <c r="D11" s="6">
        <v>14585910</v>
      </c>
      <c r="E11" s="6">
        <v>101921</v>
      </c>
      <c r="F11" s="6">
        <v>14687831</v>
      </c>
      <c r="G11" s="6">
        <v>960922</v>
      </c>
      <c r="H11" s="6">
        <v>1062418</v>
      </c>
      <c r="I11" s="6">
        <v>30001</v>
      </c>
      <c r="K11" s="6">
        <f>D11-'PaymentCodingTotal-old'!C10</f>
        <v>-102772</v>
      </c>
      <c r="L11" s="6">
        <f>E11-'PaymentCodingTotal-old'!H10</f>
        <v>-70315</v>
      </c>
      <c r="N11" s="6">
        <f>G11-'PaymentCodingTotal-old'!C34</f>
        <v>-1462294</v>
      </c>
      <c r="O11" s="6">
        <f>H11-'PaymentCodingTotal-old'!D34</f>
        <v>-1616955</v>
      </c>
      <c r="P11" s="6">
        <f>I11-'PaymentCodingTotal-old'!E22</f>
        <v>1</v>
      </c>
    </row>
    <row r="12" spans="1:16" x14ac:dyDescent="0.25">
      <c r="A12" t="s">
        <v>21</v>
      </c>
      <c r="B12" t="s">
        <v>56</v>
      </c>
      <c r="C12" s="27">
        <v>34.159999999999997</v>
      </c>
      <c r="D12" s="6">
        <v>12960059</v>
      </c>
      <c r="E12" s="6">
        <v>121335</v>
      </c>
      <c r="F12" s="6">
        <v>13081394</v>
      </c>
      <c r="G12" s="6">
        <v>885624</v>
      </c>
      <c r="H12" s="6">
        <v>973641</v>
      </c>
      <c r="I12" s="6">
        <v>30001</v>
      </c>
      <c r="K12" s="6">
        <f>D12-'PaymentCodingTotal-old'!C11</f>
        <v>-175451</v>
      </c>
      <c r="L12" s="6">
        <f>E12-'PaymentCodingTotal-old'!H11</f>
        <v>-9830</v>
      </c>
      <c r="N12" s="6">
        <f>G12-'PaymentCodingTotal-old'!C35</f>
        <v>-1360042</v>
      </c>
      <c r="O12" s="6">
        <f>H12-'PaymentCodingTotal-old'!D35</f>
        <v>-1495696</v>
      </c>
      <c r="P12" s="6">
        <f>I12-'PaymentCodingTotal-old'!E23</f>
        <v>-1</v>
      </c>
    </row>
    <row r="13" spans="1:16" ht="15.75" thickBot="1" x14ac:dyDescent="0.3">
      <c r="D13" s="28">
        <v>188895767</v>
      </c>
      <c r="E13" s="28">
        <v>834646</v>
      </c>
      <c r="F13" s="28">
        <v>189730413</v>
      </c>
      <c r="G13" s="28">
        <v>13252861</v>
      </c>
      <c r="H13" s="28">
        <v>14643281</v>
      </c>
      <c r="I13" s="28">
        <v>210004</v>
      </c>
      <c r="K13" s="6">
        <f>D13-'PaymentCodingTotal-old'!C12</f>
        <v>-2922434</v>
      </c>
      <c r="L13" s="6">
        <f>E13-'PaymentCodingTotal-old'!H12</f>
        <v>-337644</v>
      </c>
      <c r="N13" s="6">
        <f>G13-'PaymentCodingTotal-old'!C36</f>
        <v>-20545059</v>
      </c>
      <c r="O13" s="6">
        <f>H13-'PaymentCodingTotal-old'!D36</f>
        <v>-22703466</v>
      </c>
      <c r="P13" s="6">
        <f>I13-'PaymentCodingTotal-old'!E24</f>
        <v>1</v>
      </c>
    </row>
    <row r="14" spans="1:16" ht="7.5" customHeight="1" thickTop="1" x14ac:dyDescent="0.25">
      <c r="F14" s="6"/>
      <c r="G14" s="6"/>
      <c r="H14" s="6"/>
      <c r="I14" s="6"/>
      <c r="J14" s="6"/>
    </row>
    <row r="15" spans="1:16" ht="81.75" hidden="1" customHeight="1" x14ac:dyDescent="0.25">
      <c r="A15" s="29"/>
      <c r="B15" s="29"/>
      <c r="C15" s="25" t="s">
        <v>72</v>
      </c>
      <c r="D15" s="25" t="s">
        <v>73</v>
      </c>
      <c r="E15" s="25" t="s">
        <v>743</v>
      </c>
      <c r="F15" s="25" t="s">
        <v>64</v>
      </c>
      <c r="G15" s="25" t="s">
        <v>76</v>
      </c>
      <c r="H15" s="25" t="s">
        <v>77</v>
      </c>
      <c r="I15" s="25" t="s">
        <v>78</v>
      </c>
      <c r="J15" s="10"/>
    </row>
    <row r="16" spans="1:16" ht="45" x14ac:dyDescent="0.25">
      <c r="A16" s="30" t="s">
        <v>46</v>
      </c>
      <c r="B16" s="30" t="s">
        <v>47</v>
      </c>
      <c r="C16" s="26" t="s">
        <v>742</v>
      </c>
      <c r="D16" s="26" t="s">
        <v>743</v>
      </c>
      <c r="E16" s="26" t="s">
        <v>744</v>
      </c>
      <c r="F16" s="26" t="s">
        <v>76</v>
      </c>
      <c r="G16" s="26" t="s">
        <v>745</v>
      </c>
      <c r="H16" s="26" t="s">
        <v>746</v>
      </c>
      <c r="I16" s="32"/>
      <c r="K16" s="26" t="s">
        <v>742</v>
      </c>
      <c r="L16" s="26" t="s">
        <v>743</v>
      </c>
      <c r="M16" s="26" t="s">
        <v>744</v>
      </c>
      <c r="N16" s="26" t="s">
        <v>76</v>
      </c>
      <c r="O16" s="26" t="s">
        <v>745</v>
      </c>
      <c r="P16" s="26" t="s">
        <v>746</v>
      </c>
    </row>
    <row r="17" spans="1:16" x14ac:dyDescent="0.25">
      <c r="A17" t="s">
        <v>13</v>
      </c>
      <c r="B17" t="s">
        <v>48</v>
      </c>
      <c r="C17" s="6">
        <v>1138633</v>
      </c>
      <c r="D17" s="6">
        <v>14367691</v>
      </c>
      <c r="E17" s="6">
        <v>1894993</v>
      </c>
      <c r="F17" s="6">
        <v>12472698</v>
      </c>
      <c r="G17" s="6">
        <v>7959399</v>
      </c>
      <c r="H17" s="6">
        <v>4513299</v>
      </c>
      <c r="I17" s="6"/>
      <c r="K17" s="6">
        <f>C17-'PaymentCodingTotal-old'!F15</f>
        <v>-13226</v>
      </c>
      <c r="M17" s="6">
        <f>E17-'PaymentCodingTotal-old'!E3</f>
        <v>11470</v>
      </c>
      <c r="N17" s="6">
        <f>F17-'PaymentCodingTotal-old'!E27</f>
        <v>-2792032</v>
      </c>
      <c r="O17" s="6">
        <f>G17-'PaymentCodingTotal-old'!F27</f>
        <v>-125680</v>
      </c>
      <c r="P17" s="6">
        <f>H17-'PaymentCodingTotal-old'!G27</f>
        <v>-2666352</v>
      </c>
    </row>
    <row r="18" spans="1:16" x14ac:dyDescent="0.25">
      <c r="A18" t="s">
        <v>14</v>
      </c>
      <c r="B18" t="s">
        <v>49</v>
      </c>
      <c r="C18" s="6">
        <v>1264347</v>
      </c>
      <c r="D18" s="6">
        <v>14988794</v>
      </c>
      <c r="E18" s="6">
        <v>1980939</v>
      </c>
      <c r="F18" s="6">
        <v>13007855</v>
      </c>
      <c r="G18" s="6">
        <v>8370719</v>
      </c>
      <c r="H18" s="6">
        <v>4637136</v>
      </c>
      <c r="I18" s="6"/>
      <c r="K18" s="6">
        <f>C18-'PaymentCodingTotal-old'!F16</f>
        <v>-11777</v>
      </c>
      <c r="M18" s="6">
        <f>E18-'PaymentCodingTotal-old'!E4</f>
        <v>11733</v>
      </c>
      <c r="N18" s="6">
        <f>F18-'PaymentCodingTotal-old'!E28</f>
        <v>-2834296</v>
      </c>
      <c r="O18" s="6">
        <f>G18-'PaymentCodingTotal-old'!F28</f>
        <v>-130186</v>
      </c>
      <c r="P18" s="6">
        <f>H18-'PaymentCodingTotal-old'!G28</f>
        <v>-2704110</v>
      </c>
    </row>
    <row r="19" spans="1:16" x14ac:dyDescent="0.25">
      <c r="A19" t="s">
        <v>15</v>
      </c>
      <c r="B19" t="s">
        <v>50</v>
      </c>
      <c r="C19" s="6">
        <v>2996590</v>
      </c>
      <c r="D19" s="6">
        <v>30909262</v>
      </c>
      <c r="E19" s="6">
        <v>4135301</v>
      </c>
      <c r="F19" s="6">
        <v>26773961</v>
      </c>
      <c r="G19" s="6">
        <v>17854855</v>
      </c>
      <c r="H19" s="6">
        <v>8919106</v>
      </c>
      <c r="I19" s="6"/>
      <c r="K19" s="6">
        <f>C19-'PaymentCodingTotal-old'!F17</f>
        <v>-35547</v>
      </c>
      <c r="M19" s="6">
        <f>E19-'PaymentCodingTotal-old'!E5</f>
        <v>15755</v>
      </c>
      <c r="N19" s="6">
        <f>F19-'PaymentCodingTotal-old'!E29</f>
        <v>-5784553</v>
      </c>
      <c r="O19" s="6">
        <f>G19-'PaymentCodingTotal-old'!F29</f>
        <v>-314892</v>
      </c>
      <c r="P19" s="6">
        <f>H19-'PaymentCodingTotal-old'!G29</f>
        <v>-5469661</v>
      </c>
    </row>
    <row r="20" spans="1:16" x14ac:dyDescent="0.25">
      <c r="A20" t="s">
        <v>16</v>
      </c>
      <c r="B20" t="s">
        <v>51</v>
      </c>
      <c r="C20" s="6">
        <v>1615203</v>
      </c>
      <c r="D20" s="6">
        <v>21790540</v>
      </c>
      <c r="E20" s="6">
        <v>2999921</v>
      </c>
      <c r="F20" s="6">
        <v>18790619</v>
      </c>
      <c r="G20" s="6">
        <v>12400626</v>
      </c>
      <c r="H20" s="6">
        <v>6389993</v>
      </c>
      <c r="I20" s="6"/>
      <c r="K20" s="6">
        <f>C20-'PaymentCodingTotal-old'!F18</f>
        <v>-18868</v>
      </c>
      <c r="M20" s="6">
        <f>E20-'PaymentCodingTotal-old'!E6</f>
        <v>16811</v>
      </c>
      <c r="N20" s="6">
        <f>F20-'PaymentCodingTotal-old'!E30</f>
        <v>-4087645</v>
      </c>
      <c r="O20" s="6">
        <f>G20-'PaymentCodingTotal-old'!F30</f>
        <v>-201777</v>
      </c>
      <c r="P20" s="6">
        <f>H20-'PaymentCodingTotal-old'!G30</f>
        <v>-3885868</v>
      </c>
    </row>
    <row r="21" spans="1:16" x14ac:dyDescent="0.25">
      <c r="A21" t="s">
        <v>17</v>
      </c>
      <c r="B21" t="s">
        <v>52</v>
      </c>
      <c r="C21" s="6">
        <v>2515465</v>
      </c>
      <c r="D21" s="6">
        <v>33094576</v>
      </c>
      <c r="E21" s="6">
        <v>4566772</v>
      </c>
      <c r="F21" s="6">
        <v>28527804</v>
      </c>
      <c r="G21" s="6">
        <v>18921885</v>
      </c>
      <c r="H21" s="6">
        <v>9605919</v>
      </c>
      <c r="I21" s="6"/>
      <c r="K21" s="6">
        <f>C21-'PaymentCodingTotal-old'!F19</f>
        <v>-54592</v>
      </c>
      <c r="M21" s="6">
        <f>E21-'PaymentCodingTotal-old'!E7</f>
        <v>-15529</v>
      </c>
      <c r="N21" s="6">
        <f>F21-'PaymentCodingTotal-old'!E31</f>
        <v>-6748854</v>
      </c>
      <c r="O21" s="6">
        <f>G21-'PaymentCodingTotal-old'!F31</f>
        <v>-483888</v>
      </c>
      <c r="P21" s="6">
        <f>H21-'PaymentCodingTotal-old'!G31</f>
        <v>-6264966</v>
      </c>
    </row>
    <row r="22" spans="1:16" x14ac:dyDescent="0.25">
      <c r="A22" t="s">
        <v>18</v>
      </c>
      <c r="B22" t="s">
        <v>53</v>
      </c>
      <c r="C22" s="6">
        <v>4623704</v>
      </c>
      <c r="D22" s="6">
        <v>66811942</v>
      </c>
      <c r="E22" s="6">
        <v>9507746</v>
      </c>
      <c r="F22" s="6">
        <v>57304196</v>
      </c>
      <c r="G22" s="6">
        <v>38731511</v>
      </c>
      <c r="H22" s="6">
        <v>18572685</v>
      </c>
      <c r="I22" s="6"/>
      <c r="K22" s="6">
        <f>C22-'PaymentCodingTotal-old'!F20</f>
        <v>-129949</v>
      </c>
      <c r="M22" s="6">
        <f>E22-'PaymentCodingTotal-old'!E8</f>
        <v>-66708</v>
      </c>
      <c r="N22" s="6">
        <f>F22-'PaymentCodingTotal-old'!E32</f>
        <v>-14183021</v>
      </c>
      <c r="O22" s="6">
        <f>G22-'PaymentCodingTotal-old'!F32</f>
        <v>-1149681</v>
      </c>
      <c r="P22" s="6">
        <f>H22-'PaymentCodingTotal-old'!G32</f>
        <v>-13033340</v>
      </c>
    </row>
    <row r="23" spans="1:16" x14ac:dyDescent="0.25">
      <c r="A23" t="s">
        <v>19</v>
      </c>
      <c r="B23" t="s">
        <v>54</v>
      </c>
      <c r="C23" s="6">
        <v>1595606</v>
      </c>
      <c r="D23" s="6">
        <v>19911470</v>
      </c>
      <c r="E23" s="6">
        <v>2660304</v>
      </c>
      <c r="F23" s="6">
        <v>17251166</v>
      </c>
      <c r="G23" s="6">
        <v>11162299</v>
      </c>
      <c r="H23" s="6">
        <v>6088867</v>
      </c>
      <c r="I23" s="6"/>
      <c r="K23" s="6">
        <f>C23-'PaymentCodingTotal-old'!F21</f>
        <v>-23984</v>
      </c>
      <c r="M23" s="6">
        <f>E23-'PaymentCodingTotal-old'!E9</f>
        <v>729</v>
      </c>
      <c r="N23" s="6">
        <f>F23-'PaymentCodingTotal-old'!E33</f>
        <v>-4047050</v>
      </c>
      <c r="O23" s="6">
        <f>G23-'PaymentCodingTotal-old'!F33</f>
        <v>-238233</v>
      </c>
      <c r="P23" s="6">
        <f>H23-'PaymentCodingTotal-old'!G33</f>
        <v>-3808817</v>
      </c>
    </row>
    <row r="24" spans="1:16" x14ac:dyDescent="0.25">
      <c r="A24" t="s">
        <v>20</v>
      </c>
      <c r="B24" t="s">
        <v>55</v>
      </c>
      <c r="C24" s="6">
        <v>1506001</v>
      </c>
      <c r="D24" s="6">
        <v>18247173</v>
      </c>
      <c r="E24" s="6">
        <v>2508136</v>
      </c>
      <c r="F24" s="6">
        <v>15739037</v>
      </c>
      <c r="G24" s="6">
        <v>10527304</v>
      </c>
      <c r="H24" s="6">
        <v>5211733</v>
      </c>
      <c r="I24" s="6"/>
      <c r="K24" s="6">
        <f>C24-'PaymentCodingTotal-old'!F22</f>
        <v>-13470</v>
      </c>
      <c r="M24" s="6">
        <f>E24-'PaymentCodingTotal-old'!E10</f>
        <v>20971</v>
      </c>
      <c r="N24" s="6">
        <f>F24-'PaymentCodingTotal-old'!E34</f>
        <v>-3286776</v>
      </c>
      <c r="O24" s="6">
        <f>G24-'PaymentCodingTotal-old'!F34</f>
        <v>-140990</v>
      </c>
      <c r="P24" s="6">
        <f>H24-'PaymentCodingTotal-old'!G34</f>
        <v>-3145786</v>
      </c>
    </row>
    <row r="25" spans="1:16" x14ac:dyDescent="0.25">
      <c r="A25" t="s">
        <v>21</v>
      </c>
      <c r="B25" t="s">
        <v>56</v>
      </c>
      <c r="C25" s="6">
        <v>1308929</v>
      </c>
      <c r="D25" s="6">
        <v>16279589</v>
      </c>
      <c r="E25" s="6">
        <v>2245888</v>
      </c>
      <c r="F25" s="6">
        <v>14033701</v>
      </c>
      <c r="G25" s="6">
        <v>9389615</v>
      </c>
      <c r="H25" s="6">
        <v>4644086</v>
      </c>
      <c r="I25" s="6"/>
      <c r="K25" s="6">
        <f>C25-'PaymentCodingTotal-old'!F23</f>
        <v>-18640</v>
      </c>
      <c r="M25" s="6">
        <f>E25-'PaymentCodingTotal-old'!E11</f>
        <v>4768</v>
      </c>
      <c r="N25" s="6">
        <f>F25-'PaymentCodingTotal-old'!E35</f>
        <v>-3064428</v>
      </c>
      <c r="O25" s="6">
        <f>G25-'PaymentCodingTotal-old'!F35</f>
        <v>-184253</v>
      </c>
      <c r="P25" s="6">
        <f>H25-'PaymentCodingTotal-old'!G35</f>
        <v>-2880175</v>
      </c>
    </row>
    <row r="26" spans="1:16" ht="15.75" thickBot="1" x14ac:dyDescent="0.3">
      <c r="C26" s="28">
        <v>18564478</v>
      </c>
      <c r="D26" s="28">
        <v>236401037</v>
      </c>
      <c r="E26" s="28">
        <v>32500000</v>
      </c>
      <c r="F26" s="28">
        <v>203901037</v>
      </c>
      <c r="G26" s="28">
        <v>135318213</v>
      </c>
      <c r="H26" s="28">
        <v>68582824</v>
      </c>
      <c r="I26" s="6"/>
      <c r="K26" s="6">
        <f>C26-'PaymentCodingTotal-old'!F24</f>
        <v>-320053</v>
      </c>
      <c r="M26" s="6">
        <f>E26-'PaymentCodingTotal-old'!E12</f>
        <v>0</v>
      </c>
      <c r="N26" s="6">
        <f>F26-'PaymentCodingTotal-old'!E36</f>
        <v>-46828655</v>
      </c>
      <c r="O26" s="6">
        <f>G26-'PaymentCodingTotal-old'!F36</f>
        <v>-2969580</v>
      </c>
      <c r="P26" s="6">
        <f>H26-'PaymentCodingTotal-old'!G36</f>
        <v>-43859075</v>
      </c>
    </row>
    <row r="27" spans="1:16" ht="15.75" thickTop="1" x14ac:dyDescent="0.25"/>
    <row r="29" spans="1:16" x14ac:dyDescent="0.25">
      <c r="H29" s="6"/>
    </row>
  </sheetData>
  <mergeCells count="1">
    <mergeCell ref="B2:J2"/>
  </mergeCells>
  <pageMargins left="0.25" right="0.25" top="0.75" bottom="0.75" header="0.3" footer="0.3"/>
  <pageSetup scale="90" fitToWidth="0" orientation="landscape" r:id="rId1"/>
  <headerFooter>
    <oddHeader xml:space="preserve">&amp;C&amp;"-,Bold"&amp;14FY 2024 AEA Enrollments and Cost - Final - 3.0% of Growth - $29.6 million Reduction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D576A-B0FC-40B5-A77C-B8205B7C52BF}">
  <dimension ref="A1:V326"/>
  <sheetViews>
    <sheetView workbookViewId="0">
      <selection activeCell="F4" sqref="F4"/>
    </sheetView>
  </sheetViews>
  <sheetFormatPr defaultRowHeight="15" x14ac:dyDescent="0.25"/>
  <cols>
    <col min="1" max="1" width="12" customWidth="1"/>
    <col min="2" max="2" width="9.140625" style="1"/>
    <col min="3" max="3" width="12.42578125" customWidth="1"/>
    <col min="4" max="4" width="9.140625" style="1"/>
    <col min="5" max="5" width="9.42578125" customWidth="1"/>
    <col min="6" max="6" width="52.140625" customWidth="1"/>
    <col min="7" max="7" width="27.42578125" customWidth="1"/>
    <col min="8" max="8" width="34" customWidth="1"/>
    <col min="9" max="9" width="35.85546875" customWidth="1"/>
    <col min="10" max="10" width="37.140625" customWidth="1"/>
    <col min="11" max="11" width="34.28515625" customWidth="1"/>
    <col min="12" max="12" width="62.5703125" customWidth="1"/>
    <col min="13" max="13" width="35.42578125" customWidth="1"/>
    <col min="14" max="14" width="31.5703125" customWidth="1"/>
    <col min="15" max="15" width="28.85546875" customWidth="1"/>
    <col min="16" max="16" width="42.140625" customWidth="1"/>
    <col min="17" max="17" width="53" customWidth="1"/>
    <col min="18" max="18" width="31.5703125" customWidth="1"/>
    <col min="19" max="19" width="28" customWidth="1"/>
    <col min="20" max="20" width="14.28515625" customWidth="1"/>
    <col min="21" max="21" width="18.140625" customWidth="1"/>
    <col min="22" max="22" width="21.28515625" customWidth="1"/>
  </cols>
  <sheetData>
    <row r="1" spans="1:22" x14ac:dyDescent="0.25">
      <c r="A1" t="s">
        <v>59</v>
      </c>
      <c r="B1" s="1" t="s">
        <v>46</v>
      </c>
      <c r="C1" t="s">
        <v>47</v>
      </c>
      <c r="D1" s="1" t="s">
        <v>60</v>
      </c>
      <c r="E1" t="s">
        <v>61</v>
      </c>
      <c r="F1" t="s">
        <v>62</v>
      </c>
      <c r="G1" t="s">
        <v>63</v>
      </c>
      <c r="H1" t="s">
        <v>64</v>
      </c>
      <c r="I1" t="s">
        <v>65</v>
      </c>
      <c r="J1" t="s">
        <v>66</v>
      </c>
      <c r="K1" t="s">
        <v>67</v>
      </c>
      <c r="L1" t="s">
        <v>68</v>
      </c>
      <c r="M1" t="s">
        <v>69</v>
      </c>
      <c r="N1" t="s">
        <v>70</v>
      </c>
      <c r="O1" t="s">
        <v>71</v>
      </c>
      <c r="P1" t="s">
        <v>72</v>
      </c>
      <c r="Q1" t="s">
        <v>73</v>
      </c>
      <c r="R1" t="s">
        <v>74</v>
      </c>
      <c r="S1" t="s">
        <v>75</v>
      </c>
      <c r="T1" t="s">
        <v>76</v>
      </c>
      <c r="U1" t="s">
        <v>77</v>
      </c>
      <c r="V1" t="s">
        <v>78</v>
      </c>
    </row>
    <row r="2" spans="1:22" x14ac:dyDescent="0.25">
      <c r="A2">
        <v>2026</v>
      </c>
      <c r="B2" s="1" t="s">
        <v>18</v>
      </c>
      <c r="C2" t="s">
        <v>53</v>
      </c>
      <c r="D2" s="1" t="s">
        <v>404</v>
      </c>
      <c r="E2" t="s">
        <v>79</v>
      </c>
      <c r="F2" s="6">
        <v>113866</v>
      </c>
      <c r="G2" s="6">
        <v>92145</v>
      </c>
      <c r="H2" s="6">
        <v>19736</v>
      </c>
      <c r="I2" s="6">
        <v>72409</v>
      </c>
      <c r="J2" s="6">
        <v>21721</v>
      </c>
      <c r="K2" s="6">
        <v>1802</v>
      </c>
      <c r="L2" s="6">
        <v>95932</v>
      </c>
      <c r="M2">
        <v>0</v>
      </c>
      <c r="N2">
        <v>0</v>
      </c>
      <c r="O2">
        <v>0</v>
      </c>
      <c r="P2" s="6">
        <v>9785</v>
      </c>
      <c r="Q2" s="6">
        <v>0</v>
      </c>
      <c r="R2" s="6">
        <v>19069</v>
      </c>
      <c r="S2" s="6">
        <v>20956</v>
      </c>
      <c r="T2" s="6">
        <v>145742</v>
      </c>
      <c r="U2" s="6">
        <v>82194</v>
      </c>
      <c r="V2" s="6">
        <v>63548</v>
      </c>
    </row>
    <row r="3" spans="1:22" x14ac:dyDescent="0.25">
      <c r="A3">
        <v>2026</v>
      </c>
      <c r="B3" s="1" t="s">
        <v>18</v>
      </c>
      <c r="C3" t="s">
        <v>53</v>
      </c>
      <c r="D3" s="1" t="s">
        <v>405</v>
      </c>
      <c r="E3" t="s">
        <v>80</v>
      </c>
      <c r="F3" s="6">
        <v>828554</v>
      </c>
      <c r="G3" s="6">
        <v>670501</v>
      </c>
      <c r="H3" s="6">
        <v>143611</v>
      </c>
      <c r="I3" s="6">
        <v>526890</v>
      </c>
      <c r="J3" s="6">
        <v>158053</v>
      </c>
      <c r="K3">
        <v>0</v>
      </c>
      <c r="L3" s="6">
        <v>684943</v>
      </c>
      <c r="M3">
        <v>0</v>
      </c>
      <c r="N3">
        <v>0</v>
      </c>
      <c r="O3">
        <v>0</v>
      </c>
      <c r="P3" s="6">
        <v>71204</v>
      </c>
      <c r="Q3" s="6">
        <v>0</v>
      </c>
      <c r="R3" s="6">
        <v>144119</v>
      </c>
      <c r="S3" s="6">
        <v>158384</v>
      </c>
      <c r="T3" s="6">
        <v>1058650</v>
      </c>
      <c r="U3" s="6">
        <v>598094</v>
      </c>
      <c r="V3" s="6">
        <v>460556</v>
      </c>
    </row>
    <row r="4" spans="1:22" x14ac:dyDescent="0.25">
      <c r="A4">
        <v>2026</v>
      </c>
      <c r="B4" s="1" t="s">
        <v>15</v>
      </c>
      <c r="C4" t="s">
        <v>50</v>
      </c>
      <c r="D4" s="1" t="s">
        <v>406</v>
      </c>
      <c r="E4" t="s">
        <v>81</v>
      </c>
      <c r="F4" s="6">
        <v>281388</v>
      </c>
      <c r="G4" s="6">
        <v>220358</v>
      </c>
      <c r="H4" s="6">
        <v>47198</v>
      </c>
      <c r="I4" s="6">
        <v>173160</v>
      </c>
      <c r="J4" s="6">
        <v>61030</v>
      </c>
      <c r="K4" s="6">
        <v>4081</v>
      </c>
      <c r="L4" s="6">
        <v>238271</v>
      </c>
      <c r="M4">
        <v>270</v>
      </c>
      <c r="N4">
        <v>75</v>
      </c>
      <c r="O4">
        <v>345</v>
      </c>
      <c r="P4" s="6">
        <v>35155</v>
      </c>
      <c r="Q4" s="6">
        <v>0</v>
      </c>
      <c r="R4" s="6">
        <v>47596</v>
      </c>
      <c r="S4" s="6">
        <v>53057</v>
      </c>
      <c r="T4" s="6">
        <v>374424</v>
      </c>
      <c r="U4" s="6">
        <v>208586</v>
      </c>
      <c r="V4" s="6">
        <v>165838</v>
      </c>
    </row>
    <row r="5" spans="1:22" x14ac:dyDescent="0.25">
      <c r="A5">
        <v>2026</v>
      </c>
      <c r="B5" s="1" t="s">
        <v>20</v>
      </c>
      <c r="C5" t="s">
        <v>55</v>
      </c>
      <c r="D5" s="1" t="s">
        <v>407</v>
      </c>
      <c r="E5" t="s">
        <v>82</v>
      </c>
      <c r="F5" s="6">
        <v>311331</v>
      </c>
      <c r="G5" s="6">
        <v>246126</v>
      </c>
      <c r="H5" s="6">
        <v>52716</v>
      </c>
      <c r="I5" s="6">
        <v>193410</v>
      </c>
      <c r="J5" s="6">
        <v>65205</v>
      </c>
      <c r="K5">
        <v>0</v>
      </c>
      <c r="L5" s="6">
        <v>258615</v>
      </c>
      <c r="M5">
        <v>502</v>
      </c>
      <c r="N5">
        <v>133</v>
      </c>
      <c r="O5">
        <v>635</v>
      </c>
      <c r="P5" s="6">
        <v>31970</v>
      </c>
      <c r="Q5" s="6">
        <v>0</v>
      </c>
      <c r="R5" s="6">
        <v>51407</v>
      </c>
      <c r="S5" s="6">
        <v>56841</v>
      </c>
      <c r="T5" s="6">
        <v>399468</v>
      </c>
      <c r="U5" s="6">
        <v>225882</v>
      </c>
      <c r="V5" s="6">
        <v>173586</v>
      </c>
    </row>
    <row r="6" spans="1:22" x14ac:dyDescent="0.25">
      <c r="A6">
        <v>2026</v>
      </c>
      <c r="B6" s="1" t="s">
        <v>19</v>
      </c>
      <c r="C6" t="s">
        <v>54</v>
      </c>
      <c r="D6" s="1" t="s">
        <v>408</v>
      </c>
      <c r="E6" t="s">
        <v>83</v>
      </c>
      <c r="F6" s="6">
        <v>214092</v>
      </c>
      <c r="G6" s="6">
        <v>166122</v>
      </c>
      <c r="H6" s="6">
        <v>35581</v>
      </c>
      <c r="I6" s="6">
        <v>130541</v>
      </c>
      <c r="J6" s="6">
        <v>47970</v>
      </c>
      <c r="K6" s="6">
        <v>1215</v>
      </c>
      <c r="L6" s="6">
        <v>179726</v>
      </c>
      <c r="M6">
        <v>312</v>
      </c>
      <c r="N6">
        <v>90</v>
      </c>
      <c r="O6">
        <v>402</v>
      </c>
      <c r="P6" s="6">
        <v>21590</v>
      </c>
      <c r="Q6" s="6">
        <v>0</v>
      </c>
      <c r="R6" s="6">
        <v>35246</v>
      </c>
      <c r="S6" s="6">
        <v>39452</v>
      </c>
      <c r="T6" s="6">
        <v>276416</v>
      </c>
      <c r="U6" s="6">
        <v>152443</v>
      </c>
      <c r="V6" s="6">
        <v>123973</v>
      </c>
    </row>
    <row r="7" spans="1:22" x14ac:dyDescent="0.25">
      <c r="A7">
        <v>2026</v>
      </c>
      <c r="B7" s="1" t="s">
        <v>14</v>
      </c>
      <c r="C7" t="s">
        <v>49</v>
      </c>
      <c r="D7" s="1" t="s">
        <v>409</v>
      </c>
      <c r="E7" t="s">
        <v>84</v>
      </c>
      <c r="F7" s="6">
        <v>82726</v>
      </c>
      <c r="G7" s="6">
        <v>63588</v>
      </c>
      <c r="H7" s="6">
        <v>13620</v>
      </c>
      <c r="I7" s="6">
        <v>49968</v>
      </c>
      <c r="J7" s="6">
        <v>19138</v>
      </c>
      <c r="K7" s="6">
        <v>0</v>
      </c>
      <c r="L7" s="6">
        <v>69106</v>
      </c>
      <c r="M7">
        <v>0</v>
      </c>
      <c r="N7">
        <v>0</v>
      </c>
      <c r="O7">
        <v>0</v>
      </c>
      <c r="P7" s="6">
        <v>8753</v>
      </c>
      <c r="Q7" s="6">
        <v>0</v>
      </c>
      <c r="R7" s="6">
        <v>13983</v>
      </c>
      <c r="S7" s="6">
        <v>15656</v>
      </c>
      <c r="T7" s="6">
        <v>107498</v>
      </c>
      <c r="U7" s="6">
        <v>58721</v>
      </c>
      <c r="V7" s="6">
        <v>48777</v>
      </c>
    </row>
    <row r="8" spans="1:22" x14ac:dyDescent="0.25">
      <c r="A8">
        <v>2026</v>
      </c>
      <c r="B8" s="1" t="s">
        <v>21</v>
      </c>
      <c r="C8" t="s">
        <v>56</v>
      </c>
      <c r="D8" s="1" t="s">
        <v>410</v>
      </c>
      <c r="E8" t="s">
        <v>85</v>
      </c>
      <c r="F8" s="6">
        <v>419878</v>
      </c>
      <c r="G8" s="6">
        <v>334468</v>
      </c>
      <c r="H8" s="6">
        <v>71638</v>
      </c>
      <c r="I8" s="6">
        <v>262830</v>
      </c>
      <c r="J8" s="6">
        <v>85410</v>
      </c>
      <c r="K8">
        <v>0</v>
      </c>
      <c r="L8" s="6">
        <v>348240</v>
      </c>
      <c r="M8">
        <v>765</v>
      </c>
      <c r="N8">
        <v>195</v>
      </c>
      <c r="O8">
        <v>960</v>
      </c>
      <c r="P8" s="6">
        <v>42245</v>
      </c>
      <c r="Q8" s="6">
        <v>0</v>
      </c>
      <c r="R8" s="6">
        <v>70676</v>
      </c>
      <c r="S8" s="6">
        <v>77716</v>
      </c>
      <c r="T8" s="6">
        <v>539837</v>
      </c>
      <c r="U8" s="6">
        <v>305839</v>
      </c>
      <c r="V8" s="6">
        <v>233998</v>
      </c>
    </row>
    <row r="9" spans="1:22" x14ac:dyDescent="0.25">
      <c r="A9">
        <v>2026</v>
      </c>
      <c r="B9" s="1" t="s">
        <v>17</v>
      </c>
      <c r="C9" t="s">
        <v>52</v>
      </c>
      <c r="D9" s="1" t="s">
        <v>411</v>
      </c>
      <c r="E9" t="s">
        <v>86</v>
      </c>
      <c r="F9" s="6">
        <v>203952</v>
      </c>
      <c r="G9" s="6">
        <v>161681</v>
      </c>
      <c r="H9" s="6">
        <v>34629</v>
      </c>
      <c r="I9" s="6">
        <v>127052</v>
      </c>
      <c r="J9" s="6">
        <v>42271</v>
      </c>
      <c r="K9">
        <v>0</v>
      </c>
      <c r="L9" s="6">
        <v>169323</v>
      </c>
      <c r="M9">
        <v>179</v>
      </c>
      <c r="N9">
        <v>47</v>
      </c>
      <c r="O9">
        <v>226</v>
      </c>
      <c r="P9" s="6">
        <v>19378</v>
      </c>
      <c r="Q9" s="6">
        <v>0</v>
      </c>
      <c r="R9" s="6">
        <v>36584</v>
      </c>
      <c r="S9" s="6">
        <v>40232</v>
      </c>
      <c r="T9" s="6">
        <v>265743</v>
      </c>
      <c r="U9" s="6">
        <v>146609</v>
      </c>
      <c r="V9" s="6">
        <v>119134</v>
      </c>
    </row>
    <row r="10" spans="1:22" x14ac:dyDescent="0.25">
      <c r="A10">
        <v>2026</v>
      </c>
      <c r="B10" s="1" t="s">
        <v>15</v>
      </c>
      <c r="C10" t="s">
        <v>50</v>
      </c>
      <c r="D10" s="1" t="s">
        <v>412</v>
      </c>
      <c r="E10" t="s">
        <v>87</v>
      </c>
      <c r="F10" s="6">
        <v>94422</v>
      </c>
      <c r="G10" s="6">
        <v>73943</v>
      </c>
      <c r="H10" s="6">
        <v>15838</v>
      </c>
      <c r="I10" s="6">
        <v>58105</v>
      </c>
      <c r="J10" s="6">
        <v>20479</v>
      </c>
      <c r="K10" s="6">
        <v>5533</v>
      </c>
      <c r="L10" s="6">
        <v>84117</v>
      </c>
      <c r="M10">
        <v>91</v>
      </c>
      <c r="N10">
        <v>25</v>
      </c>
      <c r="O10">
        <v>116</v>
      </c>
      <c r="P10" s="6">
        <v>12273</v>
      </c>
      <c r="Q10" s="6">
        <v>0</v>
      </c>
      <c r="R10" s="6">
        <v>16518</v>
      </c>
      <c r="S10" s="6">
        <v>18413</v>
      </c>
      <c r="T10" s="6">
        <v>131437</v>
      </c>
      <c r="U10" s="6">
        <v>70469</v>
      </c>
      <c r="V10" s="6">
        <v>60968</v>
      </c>
    </row>
    <row r="11" spans="1:22" x14ac:dyDescent="0.25">
      <c r="A11">
        <v>2026</v>
      </c>
      <c r="B11" s="1" t="s">
        <v>14</v>
      </c>
      <c r="C11" t="s">
        <v>49</v>
      </c>
      <c r="D11" s="1" t="s">
        <v>413</v>
      </c>
      <c r="E11" t="s">
        <v>88</v>
      </c>
      <c r="F11" s="6">
        <v>587022</v>
      </c>
      <c r="G11" s="6">
        <v>451216</v>
      </c>
      <c r="H11" s="6">
        <v>96643</v>
      </c>
      <c r="I11" s="6">
        <v>354573</v>
      </c>
      <c r="J11" s="6">
        <v>135806</v>
      </c>
      <c r="K11" s="6">
        <v>0</v>
      </c>
      <c r="L11" s="6">
        <v>490379</v>
      </c>
      <c r="M11">
        <v>0</v>
      </c>
      <c r="N11">
        <v>0</v>
      </c>
      <c r="O11">
        <v>0</v>
      </c>
      <c r="P11" s="6">
        <v>62108</v>
      </c>
      <c r="Q11" s="6">
        <v>0</v>
      </c>
      <c r="R11" s="6">
        <v>115521</v>
      </c>
      <c r="S11" s="6">
        <v>129347</v>
      </c>
      <c r="T11" s="6">
        <v>797355</v>
      </c>
      <c r="U11" s="6">
        <v>416681</v>
      </c>
      <c r="V11" s="6">
        <v>380674</v>
      </c>
    </row>
    <row r="12" spans="1:22" x14ac:dyDescent="0.25">
      <c r="A12">
        <v>2026</v>
      </c>
      <c r="B12" s="1" t="s">
        <v>13</v>
      </c>
      <c r="C12" t="s">
        <v>48</v>
      </c>
      <c r="D12" s="1" t="s">
        <v>414</v>
      </c>
      <c r="E12" t="s">
        <v>89</v>
      </c>
      <c r="F12" s="6">
        <v>463226</v>
      </c>
      <c r="G12" s="6">
        <v>351894</v>
      </c>
      <c r="H12" s="6">
        <v>75370</v>
      </c>
      <c r="I12" s="6">
        <v>276524</v>
      </c>
      <c r="J12" s="6">
        <v>111332</v>
      </c>
      <c r="K12">
        <v>0</v>
      </c>
      <c r="L12" s="6">
        <v>387856</v>
      </c>
      <c r="M12">
        <v>911</v>
      </c>
      <c r="N12">
        <v>288</v>
      </c>
      <c r="O12" s="6">
        <v>1199</v>
      </c>
      <c r="P12" s="6">
        <v>45938</v>
      </c>
      <c r="Q12" s="6">
        <v>0</v>
      </c>
      <c r="R12" s="6">
        <v>82097</v>
      </c>
      <c r="S12" s="6">
        <v>91444</v>
      </c>
      <c r="T12" s="6">
        <v>608534</v>
      </c>
      <c r="U12" s="6">
        <v>323373</v>
      </c>
      <c r="V12" s="6">
        <v>285161</v>
      </c>
    </row>
    <row r="13" spans="1:22" x14ac:dyDescent="0.25">
      <c r="A13">
        <v>2026</v>
      </c>
      <c r="B13" s="1" t="s">
        <v>14</v>
      </c>
      <c r="C13" t="s">
        <v>49</v>
      </c>
      <c r="D13" s="1" t="s">
        <v>415</v>
      </c>
      <c r="E13" t="s">
        <v>90</v>
      </c>
      <c r="F13" s="6">
        <v>334438</v>
      </c>
      <c r="G13" s="6">
        <v>257066</v>
      </c>
      <c r="H13" s="6">
        <v>55059</v>
      </c>
      <c r="I13" s="6">
        <v>202007</v>
      </c>
      <c r="J13" s="6">
        <v>77372</v>
      </c>
      <c r="K13" s="6">
        <v>0</v>
      </c>
      <c r="L13" s="6">
        <v>279379</v>
      </c>
      <c r="M13">
        <v>0</v>
      </c>
      <c r="N13">
        <v>0</v>
      </c>
      <c r="O13">
        <v>0</v>
      </c>
      <c r="P13" s="6">
        <v>35384</v>
      </c>
      <c r="Q13" s="6">
        <v>0</v>
      </c>
      <c r="R13" s="6">
        <v>57107</v>
      </c>
      <c r="S13" s="6">
        <v>63942</v>
      </c>
      <c r="T13" s="6">
        <v>435812</v>
      </c>
      <c r="U13" s="6">
        <v>237391</v>
      </c>
      <c r="V13" s="6">
        <v>198421</v>
      </c>
    </row>
    <row r="14" spans="1:22" x14ac:dyDescent="0.25">
      <c r="A14">
        <v>2026</v>
      </c>
      <c r="B14" s="1" t="s">
        <v>18</v>
      </c>
      <c r="C14" t="s">
        <v>53</v>
      </c>
      <c r="D14" s="1" t="s">
        <v>416</v>
      </c>
      <c r="E14" t="s">
        <v>91</v>
      </c>
      <c r="F14" s="6">
        <v>1767659</v>
      </c>
      <c r="G14" s="6">
        <v>1430464</v>
      </c>
      <c r="H14" s="6">
        <v>306383</v>
      </c>
      <c r="I14" s="6">
        <v>1124081</v>
      </c>
      <c r="J14" s="6">
        <v>337195</v>
      </c>
      <c r="K14">
        <v>0</v>
      </c>
      <c r="L14" s="6">
        <v>1461276</v>
      </c>
      <c r="M14">
        <v>0</v>
      </c>
      <c r="N14">
        <v>0</v>
      </c>
      <c r="O14">
        <v>0</v>
      </c>
      <c r="P14" s="6">
        <v>151909</v>
      </c>
      <c r="Q14" s="6">
        <v>0</v>
      </c>
      <c r="R14" s="6">
        <v>303869</v>
      </c>
      <c r="S14" s="6">
        <v>333947</v>
      </c>
      <c r="T14" s="6">
        <v>2251001</v>
      </c>
      <c r="U14" s="6">
        <v>1275990</v>
      </c>
      <c r="V14" s="6">
        <v>975011</v>
      </c>
    </row>
    <row r="15" spans="1:22" x14ac:dyDescent="0.25">
      <c r="A15">
        <v>2026</v>
      </c>
      <c r="B15" s="1" t="s">
        <v>17</v>
      </c>
      <c r="C15" t="s">
        <v>52</v>
      </c>
      <c r="D15" s="1" t="s">
        <v>417</v>
      </c>
      <c r="E15" t="s">
        <v>92</v>
      </c>
      <c r="F15" s="6">
        <v>458314</v>
      </c>
      <c r="G15" s="6">
        <v>363324</v>
      </c>
      <c r="H15" s="6">
        <v>77818</v>
      </c>
      <c r="I15" s="6">
        <v>285506</v>
      </c>
      <c r="J15" s="6">
        <v>94990</v>
      </c>
      <c r="K15" s="6">
        <v>15810</v>
      </c>
      <c r="L15" s="6">
        <v>396306</v>
      </c>
      <c r="M15">
        <v>403</v>
      </c>
      <c r="N15">
        <v>105</v>
      </c>
      <c r="O15">
        <v>508</v>
      </c>
      <c r="P15" s="6">
        <v>44979</v>
      </c>
      <c r="Q15" s="6">
        <v>0</v>
      </c>
      <c r="R15" s="6">
        <v>82525</v>
      </c>
      <c r="S15" s="6">
        <v>90754</v>
      </c>
      <c r="T15" s="6">
        <v>615072</v>
      </c>
      <c r="U15" s="6">
        <v>330888</v>
      </c>
      <c r="V15" s="6">
        <v>284184</v>
      </c>
    </row>
    <row r="16" spans="1:22" x14ac:dyDescent="0.25">
      <c r="A16">
        <v>2026</v>
      </c>
      <c r="B16" s="1" t="s">
        <v>16</v>
      </c>
      <c r="C16" t="s">
        <v>51</v>
      </c>
      <c r="D16" s="1" t="s">
        <v>418</v>
      </c>
      <c r="E16" t="s">
        <v>93</v>
      </c>
      <c r="F16" s="6">
        <v>86463</v>
      </c>
      <c r="G16" s="6">
        <v>68166</v>
      </c>
      <c r="H16" s="6">
        <v>14600</v>
      </c>
      <c r="I16" s="6">
        <v>53566</v>
      </c>
      <c r="J16" s="6">
        <v>18297</v>
      </c>
      <c r="K16" s="6">
        <v>6868</v>
      </c>
      <c r="L16" s="6">
        <v>78731</v>
      </c>
      <c r="M16">
        <v>116</v>
      </c>
      <c r="N16">
        <v>31</v>
      </c>
      <c r="O16">
        <v>147</v>
      </c>
      <c r="P16" s="6">
        <v>7985</v>
      </c>
      <c r="Q16">
        <v>0</v>
      </c>
      <c r="R16" s="6">
        <v>15941</v>
      </c>
      <c r="S16" s="6">
        <v>17432</v>
      </c>
      <c r="T16" s="6">
        <v>120236</v>
      </c>
      <c r="U16" s="6">
        <v>61667</v>
      </c>
      <c r="V16" s="6">
        <v>58569</v>
      </c>
    </row>
    <row r="17" spans="1:22" x14ac:dyDescent="0.25">
      <c r="A17">
        <v>2026</v>
      </c>
      <c r="B17" s="1" t="s">
        <v>18</v>
      </c>
      <c r="C17" t="s">
        <v>53</v>
      </c>
      <c r="D17" s="1" t="s">
        <v>419</v>
      </c>
      <c r="E17" t="s">
        <v>94</v>
      </c>
      <c r="F17" s="6">
        <v>4834549</v>
      </c>
      <c r="G17" s="6">
        <v>3912319</v>
      </c>
      <c r="H17" s="6">
        <v>837957</v>
      </c>
      <c r="I17" s="6">
        <v>3074362</v>
      </c>
      <c r="J17" s="6">
        <v>922230</v>
      </c>
      <c r="K17">
        <v>0</v>
      </c>
      <c r="L17" s="6">
        <v>3996592</v>
      </c>
      <c r="M17">
        <v>0</v>
      </c>
      <c r="N17">
        <v>0</v>
      </c>
      <c r="O17">
        <v>0</v>
      </c>
      <c r="P17" s="6">
        <v>415471</v>
      </c>
      <c r="Q17" s="6">
        <v>0</v>
      </c>
      <c r="R17" s="6">
        <v>904148</v>
      </c>
      <c r="S17" s="6">
        <v>993643</v>
      </c>
      <c r="T17" s="6">
        <v>6309854</v>
      </c>
      <c r="U17" s="6">
        <v>3489833</v>
      </c>
      <c r="V17" s="6">
        <v>2820021</v>
      </c>
    </row>
    <row r="18" spans="1:22" x14ac:dyDescent="0.25">
      <c r="A18">
        <v>2026</v>
      </c>
      <c r="B18" s="1" t="s">
        <v>15</v>
      </c>
      <c r="C18" t="s">
        <v>50</v>
      </c>
      <c r="D18" s="1" t="s">
        <v>420</v>
      </c>
      <c r="E18" t="s">
        <v>95</v>
      </c>
      <c r="F18" s="6">
        <v>321327</v>
      </c>
      <c r="G18" s="6">
        <v>251635</v>
      </c>
      <c r="H18" s="6">
        <v>53897</v>
      </c>
      <c r="I18" s="6">
        <v>197738</v>
      </c>
      <c r="J18" s="6">
        <v>69692</v>
      </c>
      <c r="K18">
        <v>0</v>
      </c>
      <c r="L18" s="6">
        <v>267430</v>
      </c>
      <c r="M18">
        <v>306</v>
      </c>
      <c r="N18">
        <v>85</v>
      </c>
      <c r="O18">
        <v>391</v>
      </c>
      <c r="P18" s="6">
        <v>39441</v>
      </c>
      <c r="Q18" s="6">
        <v>0</v>
      </c>
      <c r="R18" s="6">
        <v>53146</v>
      </c>
      <c r="S18" s="6">
        <v>59243</v>
      </c>
      <c r="T18" s="6">
        <v>419651</v>
      </c>
      <c r="U18" s="6">
        <v>237485</v>
      </c>
      <c r="V18" s="6">
        <v>182166</v>
      </c>
    </row>
    <row r="19" spans="1:22" x14ac:dyDescent="0.25">
      <c r="A19">
        <v>2026</v>
      </c>
      <c r="B19" s="1" t="s">
        <v>19</v>
      </c>
      <c r="C19" t="s">
        <v>54</v>
      </c>
      <c r="D19" s="1" t="s">
        <v>421</v>
      </c>
      <c r="E19" t="s">
        <v>96</v>
      </c>
      <c r="F19" s="6">
        <v>111829</v>
      </c>
      <c r="G19" s="6">
        <v>86772</v>
      </c>
      <c r="H19" s="6">
        <v>18585</v>
      </c>
      <c r="I19" s="6">
        <v>68187</v>
      </c>
      <c r="J19" s="6">
        <v>25057</v>
      </c>
      <c r="K19" s="6">
        <v>4886</v>
      </c>
      <c r="L19" s="6">
        <v>98130</v>
      </c>
      <c r="M19">
        <v>163</v>
      </c>
      <c r="N19">
        <v>47</v>
      </c>
      <c r="O19">
        <v>210</v>
      </c>
      <c r="P19" s="6">
        <v>11766</v>
      </c>
      <c r="Q19" s="6">
        <v>0</v>
      </c>
      <c r="R19" s="6">
        <v>22779</v>
      </c>
      <c r="S19" s="6">
        <v>25498</v>
      </c>
      <c r="T19" s="6">
        <v>158383</v>
      </c>
      <c r="U19" s="6">
        <v>80115</v>
      </c>
      <c r="V19" s="6">
        <v>78268</v>
      </c>
    </row>
    <row r="20" spans="1:22" x14ac:dyDescent="0.25">
      <c r="A20">
        <v>2026</v>
      </c>
      <c r="B20" s="1" t="s">
        <v>20</v>
      </c>
      <c r="C20" t="s">
        <v>55</v>
      </c>
      <c r="D20" s="1" t="s">
        <v>422</v>
      </c>
      <c r="E20" t="s">
        <v>97</v>
      </c>
      <c r="F20" s="6">
        <v>597557</v>
      </c>
      <c r="G20" s="6">
        <v>472404</v>
      </c>
      <c r="H20" s="6">
        <v>101182</v>
      </c>
      <c r="I20" s="6">
        <v>371222</v>
      </c>
      <c r="J20" s="6">
        <v>125153</v>
      </c>
      <c r="K20">
        <v>0</v>
      </c>
      <c r="L20" s="6">
        <v>496375</v>
      </c>
      <c r="M20">
        <v>963</v>
      </c>
      <c r="N20">
        <v>255</v>
      </c>
      <c r="O20" s="6">
        <v>1218</v>
      </c>
      <c r="P20" s="6">
        <v>61361</v>
      </c>
      <c r="Q20" s="6">
        <v>0</v>
      </c>
      <c r="R20" s="6">
        <v>94365</v>
      </c>
      <c r="S20" s="6">
        <v>104341</v>
      </c>
      <c r="T20" s="6">
        <v>757660</v>
      </c>
      <c r="U20" s="6">
        <v>433547</v>
      </c>
      <c r="V20" s="6">
        <v>324113</v>
      </c>
    </row>
    <row r="21" spans="1:22" x14ac:dyDescent="0.25">
      <c r="A21">
        <v>2026</v>
      </c>
      <c r="B21" s="1" t="s">
        <v>18</v>
      </c>
      <c r="C21" t="s">
        <v>53</v>
      </c>
      <c r="D21" s="1" t="s">
        <v>423</v>
      </c>
      <c r="E21" t="s">
        <v>98</v>
      </c>
      <c r="F21" s="6">
        <v>189817</v>
      </c>
      <c r="G21" s="6">
        <v>153608</v>
      </c>
      <c r="H21" s="6">
        <v>32900</v>
      </c>
      <c r="I21" s="6">
        <v>120708</v>
      </c>
      <c r="J21" s="6">
        <v>36209</v>
      </c>
      <c r="K21" s="6">
        <v>3269</v>
      </c>
      <c r="L21" s="6">
        <v>160186</v>
      </c>
      <c r="M21">
        <v>0</v>
      </c>
      <c r="N21">
        <v>0</v>
      </c>
      <c r="O21">
        <v>0</v>
      </c>
      <c r="P21" s="6">
        <v>16529</v>
      </c>
      <c r="Q21" s="6">
        <v>0</v>
      </c>
      <c r="R21" s="6">
        <v>32754</v>
      </c>
      <c r="S21" s="6">
        <v>35996</v>
      </c>
      <c r="T21" s="6">
        <v>245465</v>
      </c>
      <c r="U21" s="6">
        <v>137237</v>
      </c>
      <c r="V21" s="6">
        <v>108228</v>
      </c>
    </row>
    <row r="22" spans="1:22" x14ac:dyDescent="0.25">
      <c r="A22">
        <v>2026</v>
      </c>
      <c r="B22" s="1" t="s">
        <v>18</v>
      </c>
      <c r="C22" t="s">
        <v>53</v>
      </c>
      <c r="D22" s="1" t="s">
        <v>424</v>
      </c>
      <c r="E22" t="s">
        <v>99</v>
      </c>
      <c r="F22" s="6">
        <v>662294</v>
      </c>
      <c r="G22" s="6">
        <v>535956</v>
      </c>
      <c r="H22" s="6">
        <v>114794</v>
      </c>
      <c r="I22" s="6">
        <v>421162</v>
      </c>
      <c r="J22" s="6">
        <v>126338</v>
      </c>
      <c r="K22">
        <v>0</v>
      </c>
      <c r="L22" s="6">
        <v>547500</v>
      </c>
      <c r="M22">
        <v>0</v>
      </c>
      <c r="N22">
        <v>0</v>
      </c>
      <c r="O22">
        <v>0</v>
      </c>
      <c r="P22" s="6">
        <v>56916</v>
      </c>
      <c r="Q22" s="6">
        <v>0</v>
      </c>
      <c r="R22" s="6">
        <v>117267</v>
      </c>
      <c r="S22" s="6">
        <v>128874</v>
      </c>
      <c r="T22" s="6">
        <v>850557</v>
      </c>
      <c r="U22" s="6">
        <v>478078</v>
      </c>
      <c r="V22" s="6">
        <v>372479</v>
      </c>
    </row>
    <row r="23" spans="1:22" x14ac:dyDescent="0.25">
      <c r="A23">
        <v>2026</v>
      </c>
      <c r="B23" s="1" t="s">
        <v>18</v>
      </c>
      <c r="C23" t="s">
        <v>53</v>
      </c>
      <c r="D23" s="1" t="s">
        <v>425</v>
      </c>
      <c r="E23" t="s">
        <v>100</v>
      </c>
      <c r="F23" s="6">
        <v>129112</v>
      </c>
      <c r="G23" s="6">
        <v>104483</v>
      </c>
      <c r="H23" s="6">
        <v>22378</v>
      </c>
      <c r="I23" s="6">
        <v>82105</v>
      </c>
      <c r="J23" s="6">
        <v>24629</v>
      </c>
      <c r="K23" s="6">
        <v>360</v>
      </c>
      <c r="L23" s="6">
        <v>107094</v>
      </c>
      <c r="M23">
        <v>0</v>
      </c>
      <c r="N23">
        <v>0</v>
      </c>
      <c r="O23">
        <v>0</v>
      </c>
      <c r="P23" s="6">
        <v>11096</v>
      </c>
      <c r="Q23" s="6">
        <v>0</v>
      </c>
      <c r="R23" s="6">
        <v>22636</v>
      </c>
      <c r="S23" s="6">
        <v>24877</v>
      </c>
      <c r="T23" s="6">
        <v>165703</v>
      </c>
      <c r="U23" s="6">
        <v>93201</v>
      </c>
      <c r="V23" s="6">
        <v>72502</v>
      </c>
    </row>
    <row r="24" spans="1:22" x14ac:dyDescent="0.25">
      <c r="A24">
        <v>2026</v>
      </c>
      <c r="B24" s="1" t="s">
        <v>15</v>
      </c>
      <c r="C24" t="s">
        <v>50</v>
      </c>
      <c r="D24" s="1" t="s">
        <v>426</v>
      </c>
      <c r="E24" t="s">
        <v>101</v>
      </c>
      <c r="F24" s="6">
        <v>178888</v>
      </c>
      <c r="G24" s="6">
        <v>140089</v>
      </c>
      <c r="H24" s="6">
        <v>30005</v>
      </c>
      <c r="I24" s="6">
        <v>110084</v>
      </c>
      <c r="J24" s="6">
        <v>38799</v>
      </c>
      <c r="K24" s="6">
        <v>7624</v>
      </c>
      <c r="L24" s="6">
        <v>156507</v>
      </c>
      <c r="M24">
        <v>171</v>
      </c>
      <c r="N24">
        <v>48</v>
      </c>
      <c r="O24">
        <v>219</v>
      </c>
      <c r="P24" s="6">
        <v>21957</v>
      </c>
      <c r="Q24" s="6">
        <v>0</v>
      </c>
      <c r="R24" s="6">
        <v>29185</v>
      </c>
      <c r="S24" s="6">
        <v>32533</v>
      </c>
      <c r="T24" s="6">
        <v>240401</v>
      </c>
      <c r="U24" s="6">
        <v>132212</v>
      </c>
      <c r="V24" s="6">
        <v>108189</v>
      </c>
    </row>
    <row r="25" spans="1:22" x14ac:dyDescent="0.25">
      <c r="A25">
        <v>2026</v>
      </c>
      <c r="B25" s="1" t="s">
        <v>20</v>
      </c>
      <c r="C25" t="s">
        <v>55</v>
      </c>
      <c r="D25" s="1" t="s">
        <v>427</v>
      </c>
      <c r="E25" t="s">
        <v>102</v>
      </c>
      <c r="F25" s="6">
        <v>197392</v>
      </c>
      <c r="G25" s="6">
        <v>156050</v>
      </c>
      <c r="H25" s="6">
        <v>33423</v>
      </c>
      <c r="I25" s="6">
        <v>122627</v>
      </c>
      <c r="J25" s="6">
        <v>41342</v>
      </c>
      <c r="K25">
        <v>0</v>
      </c>
      <c r="L25" s="6">
        <v>163969</v>
      </c>
      <c r="M25">
        <v>317</v>
      </c>
      <c r="N25">
        <v>84</v>
      </c>
      <c r="O25">
        <v>401</v>
      </c>
      <c r="P25" s="6">
        <v>20270</v>
      </c>
      <c r="Q25" s="6">
        <v>0</v>
      </c>
      <c r="R25" s="6">
        <v>32690</v>
      </c>
      <c r="S25" s="6">
        <v>36146</v>
      </c>
      <c r="T25" s="6">
        <v>253476</v>
      </c>
      <c r="U25" s="6">
        <v>143215</v>
      </c>
      <c r="V25" s="6">
        <v>110261</v>
      </c>
    </row>
    <row r="26" spans="1:22" x14ac:dyDescent="0.25">
      <c r="A26">
        <v>2026</v>
      </c>
      <c r="B26" s="1" t="s">
        <v>17</v>
      </c>
      <c r="C26" t="s">
        <v>52</v>
      </c>
      <c r="D26" s="1" t="s">
        <v>428</v>
      </c>
      <c r="E26" t="s">
        <v>103</v>
      </c>
      <c r="F26" s="6">
        <v>182787</v>
      </c>
      <c r="G26" s="6">
        <v>144903</v>
      </c>
      <c r="H26" s="6">
        <v>31036</v>
      </c>
      <c r="I26" s="6">
        <v>113867</v>
      </c>
      <c r="J26" s="6">
        <v>37884</v>
      </c>
      <c r="K26" s="6">
        <v>0</v>
      </c>
      <c r="L26" s="6">
        <v>151751</v>
      </c>
      <c r="M26">
        <v>160</v>
      </c>
      <c r="N26">
        <v>42</v>
      </c>
      <c r="O26">
        <v>202</v>
      </c>
      <c r="P26" s="6">
        <v>17367</v>
      </c>
      <c r="Q26" s="6">
        <v>0</v>
      </c>
      <c r="R26" s="6">
        <v>30801</v>
      </c>
      <c r="S26" s="6">
        <v>33872</v>
      </c>
      <c r="T26" s="6">
        <v>233993</v>
      </c>
      <c r="U26" s="6">
        <v>131394</v>
      </c>
      <c r="V26" s="6">
        <v>102599</v>
      </c>
    </row>
    <row r="27" spans="1:22" x14ac:dyDescent="0.25">
      <c r="A27">
        <v>2026</v>
      </c>
      <c r="B27" s="1" t="s">
        <v>16</v>
      </c>
      <c r="C27" t="s">
        <v>51</v>
      </c>
      <c r="D27" s="1" t="s">
        <v>429</v>
      </c>
      <c r="E27" t="s">
        <v>104</v>
      </c>
      <c r="F27" s="6">
        <v>227685</v>
      </c>
      <c r="G27" s="6">
        <v>179505</v>
      </c>
      <c r="H27" s="6">
        <v>38447</v>
      </c>
      <c r="I27" s="6">
        <v>141058</v>
      </c>
      <c r="J27" s="6">
        <v>48180</v>
      </c>
      <c r="K27" s="6">
        <v>2543</v>
      </c>
      <c r="L27" s="6">
        <v>191781</v>
      </c>
      <c r="M27">
        <v>306</v>
      </c>
      <c r="N27">
        <v>83</v>
      </c>
      <c r="O27">
        <v>389</v>
      </c>
      <c r="P27" s="6">
        <v>21216</v>
      </c>
      <c r="Q27" s="6">
        <v>0</v>
      </c>
      <c r="R27" s="6">
        <v>51127</v>
      </c>
      <c r="S27" s="6">
        <v>55909</v>
      </c>
      <c r="T27" s="6">
        <v>320422</v>
      </c>
      <c r="U27" s="6">
        <v>162580</v>
      </c>
      <c r="V27" s="6">
        <v>157842</v>
      </c>
    </row>
    <row r="28" spans="1:22" x14ac:dyDescent="0.25">
      <c r="A28">
        <v>2026</v>
      </c>
      <c r="B28" s="1" t="s">
        <v>15</v>
      </c>
      <c r="C28" t="s">
        <v>50</v>
      </c>
      <c r="D28" s="1" t="s">
        <v>430</v>
      </c>
      <c r="E28" t="s">
        <v>105</v>
      </c>
      <c r="F28" s="6">
        <v>283534</v>
      </c>
      <c r="G28" s="6">
        <v>222039</v>
      </c>
      <c r="H28" s="6">
        <v>47558</v>
      </c>
      <c r="I28" s="6">
        <v>174481</v>
      </c>
      <c r="J28" s="6">
        <v>61495</v>
      </c>
      <c r="K28" s="6">
        <v>5664</v>
      </c>
      <c r="L28" s="6">
        <v>241640</v>
      </c>
      <c r="M28">
        <v>270</v>
      </c>
      <c r="N28">
        <v>75</v>
      </c>
      <c r="O28">
        <v>345</v>
      </c>
      <c r="P28" s="6">
        <v>35614</v>
      </c>
      <c r="Q28" s="6">
        <v>0</v>
      </c>
      <c r="R28" s="6">
        <v>46095</v>
      </c>
      <c r="S28" s="6">
        <v>51383</v>
      </c>
      <c r="T28" s="6">
        <v>375077</v>
      </c>
      <c r="U28" s="6">
        <v>210366</v>
      </c>
      <c r="V28" s="6">
        <v>164711</v>
      </c>
    </row>
    <row r="29" spans="1:22" x14ac:dyDescent="0.25">
      <c r="A29">
        <v>2026</v>
      </c>
      <c r="B29" s="1" t="s">
        <v>16</v>
      </c>
      <c r="C29" t="s">
        <v>51</v>
      </c>
      <c r="D29" s="1" t="s">
        <v>431</v>
      </c>
      <c r="E29" t="s">
        <v>106</v>
      </c>
      <c r="F29" s="6">
        <v>63659</v>
      </c>
      <c r="G29" s="6">
        <v>50188</v>
      </c>
      <c r="H29" s="6">
        <v>10750</v>
      </c>
      <c r="I29" s="6">
        <v>39438</v>
      </c>
      <c r="J29" s="6">
        <v>13471</v>
      </c>
      <c r="K29" s="6">
        <v>9128</v>
      </c>
      <c r="L29" s="6">
        <v>62037</v>
      </c>
      <c r="M29">
        <v>86</v>
      </c>
      <c r="N29">
        <v>23</v>
      </c>
      <c r="O29">
        <v>109</v>
      </c>
      <c r="P29" s="6">
        <v>5879</v>
      </c>
      <c r="Q29">
        <v>0</v>
      </c>
      <c r="R29" s="6">
        <v>11016</v>
      </c>
      <c r="S29" s="6">
        <v>12046</v>
      </c>
      <c r="T29" s="6">
        <v>91087</v>
      </c>
      <c r="U29" s="6">
        <v>45402</v>
      </c>
      <c r="V29" s="6">
        <v>45685</v>
      </c>
    </row>
    <row r="30" spans="1:22" x14ac:dyDescent="0.25">
      <c r="A30">
        <v>2026</v>
      </c>
      <c r="B30" s="1" t="s">
        <v>17</v>
      </c>
      <c r="C30" t="s">
        <v>52</v>
      </c>
      <c r="D30" s="1" t="s">
        <v>432</v>
      </c>
      <c r="E30" t="s">
        <v>107</v>
      </c>
      <c r="F30" s="6">
        <v>561850</v>
      </c>
      <c r="G30" s="6">
        <v>445401</v>
      </c>
      <c r="H30" s="6">
        <v>95398</v>
      </c>
      <c r="I30" s="6">
        <v>350003</v>
      </c>
      <c r="J30" s="6">
        <v>116449</v>
      </c>
      <c r="K30" s="6">
        <v>443</v>
      </c>
      <c r="L30" s="6">
        <v>466895</v>
      </c>
      <c r="M30">
        <v>497</v>
      </c>
      <c r="N30">
        <v>130</v>
      </c>
      <c r="O30">
        <v>627</v>
      </c>
      <c r="P30" s="6">
        <v>53384</v>
      </c>
      <c r="Q30" s="6">
        <v>0</v>
      </c>
      <c r="R30" s="6">
        <v>104943</v>
      </c>
      <c r="S30" s="6">
        <v>115408</v>
      </c>
      <c r="T30" s="6">
        <v>741257</v>
      </c>
      <c r="U30" s="6">
        <v>403883</v>
      </c>
      <c r="V30" s="6">
        <v>337374</v>
      </c>
    </row>
    <row r="31" spans="1:22" x14ac:dyDescent="0.25">
      <c r="A31">
        <v>2026</v>
      </c>
      <c r="B31" s="1" t="s">
        <v>16</v>
      </c>
      <c r="C31" t="s">
        <v>51</v>
      </c>
      <c r="D31" s="1" t="s">
        <v>433</v>
      </c>
      <c r="E31" t="s">
        <v>108</v>
      </c>
      <c r="F31" s="6">
        <v>1521378</v>
      </c>
      <c r="G31" s="6">
        <v>1199441</v>
      </c>
      <c r="H31" s="6">
        <v>256901</v>
      </c>
      <c r="I31" s="6">
        <v>942540</v>
      </c>
      <c r="J31" s="6">
        <v>321937</v>
      </c>
      <c r="K31" s="6">
        <v>10523</v>
      </c>
      <c r="L31" s="6">
        <v>1275000</v>
      </c>
      <c r="M31" s="6">
        <v>2037</v>
      </c>
      <c r="N31">
        <v>547</v>
      </c>
      <c r="O31" s="6">
        <v>2584</v>
      </c>
      <c r="P31" s="6">
        <v>141167</v>
      </c>
      <c r="Q31" s="6">
        <v>0</v>
      </c>
      <c r="R31" s="6">
        <v>274169</v>
      </c>
      <c r="S31" s="6">
        <v>299809</v>
      </c>
      <c r="T31" s="6">
        <v>1992729</v>
      </c>
      <c r="U31" s="6">
        <v>1085744</v>
      </c>
      <c r="V31" s="6">
        <v>906985</v>
      </c>
    </row>
    <row r="32" spans="1:22" x14ac:dyDescent="0.25">
      <c r="A32">
        <v>2026</v>
      </c>
      <c r="B32" s="1" t="s">
        <v>18</v>
      </c>
      <c r="C32" t="s">
        <v>53</v>
      </c>
      <c r="D32" s="1" t="s">
        <v>434</v>
      </c>
      <c r="E32" t="s">
        <v>109</v>
      </c>
      <c r="F32" s="6">
        <v>1013548</v>
      </c>
      <c r="G32" s="6">
        <v>820206</v>
      </c>
      <c r="H32" s="6">
        <v>175675</v>
      </c>
      <c r="I32" s="6">
        <v>644531</v>
      </c>
      <c r="J32" s="6">
        <v>193342</v>
      </c>
      <c r="K32">
        <v>0</v>
      </c>
      <c r="L32" s="6">
        <v>837873</v>
      </c>
      <c r="M32">
        <v>0</v>
      </c>
      <c r="N32">
        <v>0</v>
      </c>
      <c r="O32">
        <v>0</v>
      </c>
      <c r="P32" s="6">
        <v>87102</v>
      </c>
      <c r="Q32" s="6">
        <v>0</v>
      </c>
      <c r="R32" s="6">
        <v>177846</v>
      </c>
      <c r="S32" s="6">
        <v>195450</v>
      </c>
      <c r="T32" s="6">
        <v>1298271</v>
      </c>
      <c r="U32" s="6">
        <v>731633</v>
      </c>
      <c r="V32" s="6">
        <v>566638</v>
      </c>
    </row>
    <row r="33" spans="1:22" x14ac:dyDescent="0.25">
      <c r="A33">
        <v>2026</v>
      </c>
      <c r="B33" s="1" t="s">
        <v>18</v>
      </c>
      <c r="C33" t="s">
        <v>53</v>
      </c>
      <c r="D33" s="1" t="s">
        <v>435</v>
      </c>
      <c r="E33" t="s">
        <v>110</v>
      </c>
      <c r="F33" s="6">
        <v>797419</v>
      </c>
      <c r="G33" s="6">
        <v>645305</v>
      </c>
      <c r="H33" s="6">
        <v>138214</v>
      </c>
      <c r="I33" s="6">
        <v>507091</v>
      </c>
      <c r="J33" s="6">
        <v>152114</v>
      </c>
      <c r="K33">
        <v>0</v>
      </c>
      <c r="L33" s="6">
        <v>659205</v>
      </c>
      <c r="M33">
        <v>0</v>
      </c>
      <c r="N33">
        <v>0</v>
      </c>
      <c r="O33">
        <v>0</v>
      </c>
      <c r="P33" s="6">
        <v>68529</v>
      </c>
      <c r="Q33" s="6">
        <v>0</v>
      </c>
      <c r="R33" s="6">
        <v>139254</v>
      </c>
      <c r="S33" s="6">
        <v>153038</v>
      </c>
      <c r="T33" s="6">
        <v>1020026</v>
      </c>
      <c r="U33" s="6">
        <v>575620</v>
      </c>
      <c r="V33" s="6">
        <v>444406</v>
      </c>
    </row>
    <row r="34" spans="1:22" x14ac:dyDescent="0.25">
      <c r="A34">
        <v>2026</v>
      </c>
      <c r="B34" s="1" t="s">
        <v>19</v>
      </c>
      <c r="C34" t="s">
        <v>54</v>
      </c>
      <c r="D34" s="1" t="s">
        <v>436</v>
      </c>
      <c r="E34" t="s">
        <v>111</v>
      </c>
      <c r="F34" s="6">
        <v>221462</v>
      </c>
      <c r="G34" s="6">
        <v>171840</v>
      </c>
      <c r="H34" s="6">
        <v>36806</v>
      </c>
      <c r="I34" s="6">
        <v>135034</v>
      </c>
      <c r="J34" s="6">
        <v>49622</v>
      </c>
      <c r="K34" s="6">
        <v>1085</v>
      </c>
      <c r="L34" s="6">
        <v>185741</v>
      </c>
      <c r="M34">
        <v>323</v>
      </c>
      <c r="N34">
        <v>93</v>
      </c>
      <c r="O34">
        <v>416</v>
      </c>
      <c r="P34" s="6">
        <v>22432</v>
      </c>
      <c r="Q34" s="6">
        <v>0</v>
      </c>
      <c r="R34" s="6">
        <v>61419</v>
      </c>
      <c r="S34" s="6">
        <v>68749</v>
      </c>
      <c r="T34" s="6">
        <v>338757</v>
      </c>
      <c r="U34" s="6">
        <v>157789</v>
      </c>
      <c r="V34" s="6">
        <v>180968</v>
      </c>
    </row>
    <row r="35" spans="1:22" x14ac:dyDescent="0.25">
      <c r="A35">
        <v>2026</v>
      </c>
      <c r="B35" s="1" t="s">
        <v>20</v>
      </c>
      <c r="C35" t="s">
        <v>55</v>
      </c>
      <c r="D35" s="1" t="s">
        <v>437</v>
      </c>
      <c r="E35" t="s">
        <v>112</v>
      </c>
      <c r="F35" s="6">
        <v>152810</v>
      </c>
      <c r="G35" s="6">
        <v>120805</v>
      </c>
      <c r="H35" s="6">
        <v>25874</v>
      </c>
      <c r="I35" s="6">
        <v>94931</v>
      </c>
      <c r="J35" s="6">
        <v>32005</v>
      </c>
      <c r="K35" s="6">
        <v>0</v>
      </c>
      <c r="L35" s="6">
        <v>126936</v>
      </c>
      <c r="M35">
        <v>246</v>
      </c>
      <c r="N35">
        <v>65</v>
      </c>
      <c r="O35">
        <v>311</v>
      </c>
      <c r="P35" s="6">
        <v>15692</v>
      </c>
      <c r="Q35" s="6">
        <v>0</v>
      </c>
      <c r="R35" s="6">
        <v>25346</v>
      </c>
      <c r="S35" s="6">
        <v>28025</v>
      </c>
      <c r="T35" s="6">
        <v>196310</v>
      </c>
      <c r="U35" s="6">
        <v>110869</v>
      </c>
      <c r="V35" s="6">
        <v>85441</v>
      </c>
    </row>
    <row r="36" spans="1:22" x14ac:dyDescent="0.25">
      <c r="A36">
        <v>2026</v>
      </c>
      <c r="B36" s="1" t="s">
        <v>15</v>
      </c>
      <c r="C36" t="s">
        <v>50</v>
      </c>
      <c r="D36" s="1" t="s">
        <v>438</v>
      </c>
      <c r="E36" t="s">
        <v>113</v>
      </c>
      <c r="F36" s="6">
        <v>210054</v>
      </c>
      <c r="G36" s="6">
        <v>164496</v>
      </c>
      <c r="H36" s="6">
        <v>35233</v>
      </c>
      <c r="I36" s="6">
        <v>129263</v>
      </c>
      <c r="J36" s="6">
        <v>45558</v>
      </c>
      <c r="K36">
        <v>0</v>
      </c>
      <c r="L36" s="6">
        <v>174821</v>
      </c>
      <c r="M36">
        <v>201</v>
      </c>
      <c r="N36">
        <v>56</v>
      </c>
      <c r="O36">
        <v>257</v>
      </c>
      <c r="P36" s="6">
        <v>25783</v>
      </c>
      <c r="Q36" s="6">
        <v>0</v>
      </c>
      <c r="R36" s="6">
        <v>33820</v>
      </c>
      <c r="S36" s="6">
        <v>37700</v>
      </c>
      <c r="T36" s="6">
        <v>272381</v>
      </c>
      <c r="U36" s="6">
        <v>155247</v>
      </c>
      <c r="V36" s="6">
        <v>117134</v>
      </c>
    </row>
    <row r="37" spans="1:22" x14ac:dyDescent="0.25">
      <c r="A37">
        <v>2026</v>
      </c>
      <c r="B37" s="1" t="s">
        <v>21</v>
      </c>
      <c r="C37" t="s">
        <v>56</v>
      </c>
      <c r="D37" s="1" t="s">
        <v>439</v>
      </c>
      <c r="E37" t="s">
        <v>114</v>
      </c>
      <c r="F37" s="6">
        <v>1531760</v>
      </c>
      <c r="G37" s="6">
        <v>1220174</v>
      </c>
      <c r="H37" s="6">
        <v>261342</v>
      </c>
      <c r="I37" s="6">
        <v>958832</v>
      </c>
      <c r="J37" s="6">
        <v>311586</v>
      </c>
      <c r="K37" s="6">
        <v>6605</v>
      </c>
      <c r="L37" s="6">
        <v>1277023</v>
      </c>
      <c r="M37" s="6">
        <v>2788</v>
      </c>
      <c r="N37">
        <v>711</v>
      </c>
      <c r="O37" s="6">
        <v>3499</v>
      </c>
      <c r="P37" s="6">
        <v>154724</v>
      </c>
      <c r="Q37" s="6">
        <v>0</v>
      </c>
      <c r="R37" s="6">
        <v>259125</v>
      </c>
      <c r="S37" s="6">
        <v>284934</v>
      </c>
      <c r="T37" s="6">
        <v>1979305</v>
      </c>
      <c r="U37" s="6">
        <v>1116344</v>
      </c>
      <c r="V37" s="6">
        <v>862961</v>
      </c>
    </row>
    <row r="38" spans="1:22" x14ac:dyDescent="0.25">
      <c r="A38">
        <v>2026</v>
      </c>
      <c r="B38" s="1" t="s">
        <v>15</v>
      </c>
      <c r="C38" t="s">
        <v>50</v>
      </c>
      <c r="D38" s="1" t="s">
        <v>440</v>
      </c>
      <c r="E38" t="s">
        <v>115</v>
      </c>
      <c r="F38" s="6">
        <v>115903</v>
      </c>
      <c r="G38" s="6">
        <v>90765</v>
      </c>
      <c r="H38" s="6">
        <v>19440</v>
      </c>
      <c r="I38" s="6">
        <v>71325</v>
      </c>
      <c r="J38" s="6">
        <v>25138</v>
      </c>
      <c r="K38">
        <v>0</v>
      </c>
      <c r="L38" s="6">
        <v>96463</v>
      </c>
      <c r="M38">
        <v>110</v>
      </c>
      <c r="N38">
        <v>31</v>
      </c>
      <c r="O38">
        <v>141</v>
      </c>
      <c r="P38" s="6">
        <v>14226</v>
      </c>
      <c r="Q38" s="6">
        <v>0</v>
      </c>
      <c r="R38" s="6">
        <v>19652</v>
      </c>
      <c r="S38" s="6">
        <v>21907</v>
      </c>
      <c r="T38" s="6">
        <v>152389</v>
      </c>
      <c r="U38" s="6">
        <v>85662</v>
      </c>
      <c r="V38" s="6">
        <v>66727</v>
      </c>
    </row>
    <row r="39" spans="1:22" x14ac:dyDescent="0.25">
      <c r="A39">
        <v>2026</v>
      </c>
      <c r="B39" s="1" t="s">
        <v>16</v>
      </c>
      <c r="C39" t="s">
        <v>51</v>
      </c>
      <c r="D39" s="1" t="s">
        <v>441</v>
      </c>
      <c r="E39" t="s">
        <v>116</v>
      </c>
      <c r="F39" s="6">
        <v>140309</v>
      </c>
      <c r="G39" s="6">
        <v>110618</v>
      </c>
      <c r="H39" s="6">
        <v>23693</v>
      </c>
      <c r="I39" s="6">
        <v>86925</v>
      </c>
      <c r="J39" s="6">
        <v>29691</v>
      </c>
      <c r="K39" s="6">
        <v>15410</v>
      </c>
      <c r="L39" s="6">
        <v>132026</v>
      </c>
      <c r="M39">
        <v>188</v>
      </c>
      <c r="N39">
        <v>50</v>
      </c>
      <c r="O39">
        <v>238</v>
      </c>
      <c r="P39" s="6">
        <v>13039</v>
      </c>
      <c r="Q39" s="6">
        <v>0</v>
      </c>
      <c r="R39" s="6">
        <v>23004</v>
      </c>
      <c r="S39" s="6">
        <v>25155</v>
      </c>
      <c r="T39" s="6">
        <v>193462</v>
      </c>
      <c r="U39" s="6">
        <v>100152</v>
      </c>
      <c r="V39" s="6">
        <v>93310</v>
      </c>
    </row>
    <row r="40" spans="1:22" x14ac:dyDescent="0.25">
      <c r="A40">
        <v>2026</v>
      </c>
      <c r="B40" s="1" t="s">
        <v>20</v>
      </c>
      <c r="C40" t="s">
        <v>55</v>
      </c>
      <c r="D40" s="1" t="s">
        <v>442</v>
      </c>
      <c r="E40" t="s">
        <v>117</v>
      </c>
      <c r="F40" s="6">
        <v>168007</v>
      </c>
      <c r="G40" s="6">
        <v>132819</v>
      </c>
      <c r="H40" s="6">
        <v>28448</v>
      </c>
      <c r="I40" s="6">
        <v>104371</v>
      </c>
      <c r="J40" s="6">
        <v>35188</v>
      </c>
      <c r="K40" s="6">
        <v>5064</v>
      </c>
      <c r="L40" s="6">
        <v>144623</v>
      </c>
      <c r="M40">
        <v>270</v>
      </c>
      <c r="N40">
        <v>72</v>
      </c>
      <c r="O40">
        <v>342</v>
      </c>
      <c r="P40" s="6">
        <v>17769</v>
      </c>
      <c r="Q40" s="6">
        <v>0</v>
      </c>
      <c r="R40" s="6">
        <v>27361</v>
      </c>
      <c r="S40" s="6">
        <v>30253</v>
      </c>
      <c r="T40" s="6">
        <v>220348</v>
      </c>
      <c r="U40" s="6">
        <v>122411</v>
      </c>
      <c r="V40" s="6">
        <v>97937</v>
      </c>
    </row>
    <row r="41" spans="1:22" x14ac:dyDescent="0.25">
      <c r="A41">
        <v>2026</v>
      </c>
      <c r="B41" s="1" t="s">
        <v>16</v>
      </c>
      <c r="C41" t="s">
        <v>51</v>
      </c>
      <c r="D41" s="1" t="s">
        <v>443</v>
      </c>
      <c r="E41" t="s">
        <v>118</v>
      </c>
      <c r="F41" s="6">
        <v>322945</v>
      </c>
      <c r="G41" s="6">
        <v>254607</v>
      </c>
      <c r="H41" s="6">
        <v>54532</v>
      </c>
      <c r="I41" s="6">
        <v>200075</v>
      </c>
      <c r="J41" s="6">
        <v>68338</v>
      </c>
      <c r="K41">
        <v>0</v>
      </c>
      <c r="L41" s="6">
        <v>268413</v>
      </c>
      <c r="M41">
        <v>433</v>
      </c>
      <c r="N41">
        <v>117</v>
      </c>
      <c r="O41">
        <v>550</v>
      </c>
      <c r="P41" s="6">
        <v>29824</v>
      </c>
      <c r="Q41" s="6">
        <v>0</v>
      </c>
      <c r="R41" s="6">
        <v>53590</v>
      </c>
      <c r="S41" s="6">
        <v>58601</v>
      </c>
      <c r="T41" s="6">
        <v>410978</v>
      </c>
      <c r="U41" s="6">
        <v>230333</v>
      </c>
      <c r="V41" s="6">
        <v>180645</v>
      </c>
    </row>
    <row r="42" spans="1:22" x14ac:dyDescent="0.25">
      <c r="A42">
        <v>2026</v>
      </c>
      <c r="B42" s="1" t="s">
        <v>21</v>
      </c>
      <c r="C42" t="s">
        <v>56</v>
      </c>
      <c r="D42" s="1" t="s">
        <v>444</v>
      </c>
      <c r="E42" t="s">
        <v>119</v>
      </c>
      <c r="F42" s="6">
        <v>221442</v>
      </c>
      <c r="G42" s="6">
        <v>176397</v>
      </c>
      <c r="H42" s="6">
        <v>37782</v>
      </c>
      <c r="I42" s="6">
        <v>138615</v>
      </c>
      <c r="J42" s="6">
        <v>45045</v>
      </c>
      <c r="K42" s="6">
        <v>0</v>
      </c>
      <c r="L42" s="6">
        <v>183660</v>
      </c>
      <c r="M42">
        <v>403</v>
      </c>
      <c r="N42">
        <v>103</v>
      </c>
      <c r="O42">
        <v>506</v>
      </c>
      <c r="P42" s="6">
        <v>22280</v>
      </c>
      <c r="Q42" s="6">
        <v>0</v>
      </c>
      <c r="R42" s="6">
        <v>35728</v>
      </c>
      <c r="S42" s="6">
        <v>39287</v>
      </c>
      <c r="T42" s="6">
        <v>281461</v>
      </c>
      <c r="U42" s="6">
        <v>161298</v>
      </c>
      <c r="V42" s="6">
        <v>120163</v>
      </c>
    </row>
    <row r="43" spans="1:22" x14ac:dyDescent="0.25">
      <c r="A43">
        <v>2026</v>
      </c>
      <c r="B43" s="1" t="s">
        <v>18</v>
      </c>
      <c r="C43" t="s">
        <v>53</v>
      </c>
      <c r="D43" s="1" t="s">
        <v>445</v>
      </c>
      <c r="E43" t="s">
        <v>120</v>
      </c>
      <c r="F43" s="6">
        <v>731802</v>
      </c>
      <c r="G43" s="6">
        <v>592205</v>
      </c>
      <c r="H43" s="6">
        <v>126841</v>
      </c>
      <c r="I43" s="6">
        <v>465364</v>
      </c>
      <c r="J43" s="6">
        <v>139597</v>
      </c>
      <c r="K43" s="6">
        <v>7095</v>
      </c>
      <c r="L43" s="6">
        <v>612056</v>
      </c>
      <c r="M43">
        <v>0</v>
      </c>
      <c r="N43">
        <v>0</v>
      </c>
      <c r="O43">
        <v>0</v>
      </c>
      <c r="P43" s="6">
        <v>63251</v>
      </c>
      <c r="Q43" s="6">
        <v>0</v>
      </c>
      <c r="R43" s="6">
        <v>129396</v>
      </c>
      <c r="S43" s="6">
        <v>142204</v>
      </c>
      <c r="T43" s="6">
        <v>946907</v>
      </c>
      <c r="U43" s="6">
        <v>528615</v>
      </c>
      <c r="V43" s="6">
        <v>418292</v>
      </c>
    </row>
    <row r="44" spans="1:22" x14ac:dyDescent="0.25">
      <c r="A44">
        <v>2026</v>
      </c>
      <c r="B44" s="1" t="s">
        <v>18</v>
      </c>
      <c r="C44" t="s">
        <v>53</v>
      </c>
      <c r="D44" s="1" t="s">
        <v>446</v>
      </c>
      <c r="E44" t="s">
        <v>121</v>
      </c>
      <c r="F44" s="6">
        <v>621664</v>
      </c>
      <c r="G44" s="6">
        <v>503076</v>
      </c>
      <c r="H44" s="6">
        <v>107751</v>
      </c>
      <c r="I44" s="6">
        <v>395325</v>
      </c>
      <c r="J44" s="6">
        <v>118588</v>
      </c>
      <c r="K44" s="6">
        <v>10834</v>
      </c>
      <c r="L44" s="6">
        <v>524747</v>
      </c>
      <c r="M44">
        <v>0</v>
      </c>
      <c r="N44">
        <v>0</v>
      </c>
      <c r="O44">
        <v>0</v>
      </c>
      <c r="P44" s="6">
        <v>54143</v>
      </c>
      <c r="Q44" s="6">
        <v>0</v>
      </c>
      <c r="R44" s="6">
        <v>160464</v>
      </c>
      <c r="S44" s="6">
        <v>176347</v>
      </c>
      <c r="T44" s="6">
        <v>915701</v>
      </c>
      <c r="U44" s="6">
        <v>449468</v>
      </c>
      <c r="V44" s="6">
        <v>466233</v>
      </c>
    </row>
    <row r="45" spans="1:22" x14ac:dyDescent="0.25">
      <c r="A45">
        <v>2026</v>
      </c>
      <c r="B45" s="1" t="s">
        <v>15</v>
      </c>
      <c r="C45" t="s">
        <v>50</v>
      </c>
      <c r="D45" s="1" t="s">
        <v>447</v>
      </c>
      <c r="E45" t="s">
        <v>122</v>
      </c>
      <c r="F45" s="6">
        <v>2210218</v>
      </c>
      <c r="G45" s="6">
        <v>1730848</v>
      </c>
      <c r="H45" s="6">
        <v>370720</v>
      </c>
      <c r="I45" s="6">
        <v>1360128</v>
      </c>
      <c r="J45" s="6">
        <v>479370</v>
      </c>
      <c r="K45">
        <v>0</v>
      </c>
      <c r="L45" s="6">
        <v>1839498</v>
      </c>
      <c r="M45" s="6">
        <v>2114</v>
      </c>
      <c r="N45">
        <v>586</v>
      </c>
      <c r="O45" s="6">
        <v>2700</v>
      </c>
      <c r="P45" s="6">
        <v>271292</v>
      </c>
      <c r="Q45" s="6">
        <v>0</v>
      </c>
      <c r="R45" s="6">
        <v>381881</v>
      </c>
      <c r="S45" s="6">
        <v>425690</v>
      </c>
      <c r="T45" s="6">
        <v>2921061</v>
      </c>
      <c r="U45" s="6">
        <v>1633535</v>
      </c>
      <c r="V45" s="6">
        <v>1287526</v>
      </c>
    </row>
    <row r="46" spans="1:22" x14ac:dyDescent="0.25">
      <c r="A46">
        <v>2026</v>
      </c>
      <c r="B46" s="1" t="s">
        <v>17</v>
      </c>
      <c r="C46" t="s">
        <v>52</v>
      </c>
      <c r="D46" s="1" t="s">
        <v>448</v>
      </c>
      <c r="E46" t="s">
        <v>123</v>
      </c>
      <c r="F46" s="6">
        <v>6481733</v>
      </c>
      <c r="G46" s="6">
        <v>5138322</v>
      </c>
      <c r="H46" s="6">
        <v>1100546</v>
      </c>
      <c r="I46" s="6">
        <v>4037776</v>
      </c>
      <c r="J46" s="6">
        <v>1343411</v>
      </c>
      <c r="K46">
        <v>0</v>
      </c>
      <c r="L46" s="6">
        <v>5381187</v>
      </c>
      <c r="M46" s="6">
        <v>5710</v>
      </c>
      <c r="N46" s="6">
        <v>1493</v>
      </c>
      <c r="O46" s="6">
        <v>7203</v>
      </c>
      <c r="P46" s="6">
        <v>615854</v>
      </c>
      <c r="Q46" s="6">
        <v>0</v>
      </c>
      <c r="R46" s="6">
        <v>1181661</v>
      </c>
      <c r="S46" s="6">
        <v>1299500</v>
      </c>
      <c r="T46" s="6">
        <v>8485405</v>
      </c>
      <c r="U46" s="6">
        <v>4659341</v>
      </c>
      <c r="V46" s="6">
        <v>3826064</v>
      </c>
    </row>
    <row r="47" spans="1:22" x14ac:dyDescent="0.25">
      <c r="A47">
        <v>2026</v>
      </c>
      <c r="B47" s="1" t="s">
        <v>17</v>
      </c>
      <c r="C47" t="s">
        <v>52</v>
      </c>
      <c r="D47" s="1" t="s">
        <v>449</v>
      </c>
      <c r="E47" t="s">
        <v>124</v>
      </c>
      <c r="F47" s="6">
        <v>425434</v>
      </c>
      <c r="G47" s="6">
        <v>337258</v>
      </c>
      <c r="H47" s="6">
        <v>72236</v>
      </c>
      <c r="I47" s="6">
        <v>265022</v>
      </c>
      <c r="J47" s="6">
        <v>88176</v>
      </c>
      <c r="K47" s="6">
        <v>36359</v>
      </c>
      <c r="L47" s="6">
        <v>389557</v>
      </c>
      <c r="M47">
        <v>375</v>
      </c>
      <c r="N47">
        <v>98</v>
      </c>
      <c r="O47">
        <v>473</v>
      </c>
      <c r="P47" s="6">
        <v>41321</v>
      </c>
      <c r="Q47" s="6">
        <v>0</v>
      </c>
      <c r="R47" s="6">
        <v>74077</v>
      </c>
      <c r="S47" s="6">
        <v>81464</v>
      </c>
      <c r="T47" s="6">
        <v>586892</v>
      </c>
      <c r="U47" s="6">
        <v>306719</v>
      </c>
      <c r="V47" s="6">
        <v>280173</v>
      </c>
    </row>
    <row r="48" spans="1:22" x14ac:dyDescent="0.25">
      <c r="A48">
        <v>2026</v>
      </c>
      <c r="B48" s="1" t="s">
        <v>21</v>
      </c>
      <c r="C48" t="s">
        <v>56</v>
      </c>
      <c r="D48" s="1" t="s">
        <v>450</v>
      </c>
      <c r="E48" t="s">
        <v>125</v>
      </c>
      <c r="F48" s="6">
        <v>498865</v>
      </c>
      <c r="G48" s="6">
        <v>397388</v>
      </c>
      <c r="H48" s="6">
        <v>85114</v>
      </c>
      <c r="I48" s="6">
        <v>312274</v>
      </c>
      <c r="J48" s="6">
        <v>101477</v>
      </c>
      <c r="K48" s="6">
        <v>15058</v>
      </c>
      <c r="L48" s="6">
        <v>428809</v>
      </c>
      <c r="M48">
        <v>908</v>
      </c>
      <c r="N48">
        <v>232</v>
      </c>
      <c r="O48" s="6">
        <v>1140</v>
      </c>
      <c r="P48" s="6">
        <v>51689</v>
      </c>
      <c r="Q48" s="6">
        <v>0</v>
      </c>
      <c r="R48" s="6">
        <v>82109</v>
      </c>
      <c r="S48" s="6">
        <v>90288</v>
      </c>
      <c r="T48" s="6">
        <v>654035</v>
      </c>
      <c r="U48" s="6">
        <v>364871</v>
      </c>
      <c r="V48" s="6">
        <v>289164</v>
      </c>
    </row>
    <row r="49" spans="1:22" x14ac:dyDescent="0.25">
      <c r="A49">
        <v>2026</v>
      </c>
      <c r="B49" s="1" t="s">
        <v>17</v>
      </c>
      <c r="C49" t="s">
        <v>52</v>
      </c>
      <c r="D49" s="1" t="s">
        <v>451</v>
      </c>
      <c r="E49" t="s">
        <v>126</v>
      </c>
      <c r="F49" s="6">
        <v>156620</v>
      </c>
      <c r="G49" s="6">
        <v>124159</v>
      </c>
      <c r="H49" s="6">
        <v>26593</v>
      </c>
      <c r="I49" s="6">
        <v>97566</v>
      </c>
      <c r="J49" s="6">
        <v>32461</v>
      </c>
      <c r="K49" s="6">
        <v>8288</v>
      </c>
      <c r="L49" s="6">
        <v>138315</v>
      </c>
      <c r="M49">
        <v>138</v>
      </c>
      <c r="N49">
        <v>36</v>
      </c>
      <c r="O49">
        <v>174</v>
      </c>
      <c r="P49" s="6">
        <v>14881</v>
      </c>
      <c r="Q49" s="6">
        <v>0</v>
      </c>
      <c r="R49" s="6">
        <v>27422</v>
      </c>
      <c r="S49" s="6">
        <v>30156</v>
      </c>
      <c r="T49" s="6">
        <v>210948</v>
      </c>
      <c r="U49" s="6">
        <v>112585</v>
      </c>
      <c r="V49" s="6">
        <v>98363</v>
      </c>
    </row>
    <row r="50" spans="1:22" x14ac:dyDescent="0.25">
      <c r="A50">
        <v>2026</v>
      </c>
      <c r="B50" s="1" t="s">
        <v>13</v>
      </c>
      <c r="C50" t="s">
        <v>48</v>
      </c>
      <c r="D50" s="1" t="s">
        <v>452</v>
      </c>
      <c r="E50" t="s">
        <v>127</v>
      </c>
      <c r="F50" s="6">
        <v>189933</v>
      </c>
      <c r="G50" s="6">
        <v>144285</v>
      </c>
      <c r="H50" s="6">
        <v>30904</v>
      </c>
      <c r="I50" s="6">
        <v>113381</v>
      </c>
      <c r="J50" s="6">
        <v>45648</v>
      </c>
      <c r="K50" s="6">
        <v>1572</v>
      </c>
      <c r="L50" s="6">
        <v>160601</v>
      </c>
      <c r="M50">
        <v>373</v>
      </c>
      <c r="N50">
        <v>117</v>
      </c>
      <c r="O50">
        <v>490</v>
      </c>
      <c r="P50" s="6">
        <v>18980</v>
      </c>
      <c r="Q50" s="6">
        <v>0</v>
      </c>
      <c r="R50" s="6">
        <v>29759</v>
      </c>
      <c r="S50" s="6">
        <v>33147</v>
      </c>
      <c r="T50" s="6">
        <v>242977</v>
      </c>
      <c r="U50" s="6">
        <v>132733</v>
      </c>
      <c r="V50" s="6">
        <v>110244</v>
      </c>
    </row>
    <row r="51" spans="1:22" x14ac:dyDescent="0.25">
      <c r="A51">
        <v>2026</v>
      </c>
      <c r="B51" s="1" t="s">
        <v>16</v>
      </c>
      <c r="C51" t="s">
        <v>51</v>
      </c>
      <c r="D51" s="1" t="s">
        <v>453</v>
      </c>
      <c r="E51" t="s">
        <v>128</v>
      </c>
      <c r="F51" s="6">
        <v>576935</v>
      </c>
      <c r="G51" s="6">
        <v>454851</v>
      </c>
      <c r="H51" s="6">
        <v>97422</v>
      </c>
      <c r="I51" s="6">
        <v>357429</v>
      </c>
      <c r="J51" s="6">
        <v>122084</v>
      </c>
      <c r="K51">
        <v>0</v>
      </c>
      <c r="L51" s="6">
        <v>479513</v>
      </c>
      <c r="M51">
        <v>773</v>
      </c>
      <c r="N51">
        <v>207</v>
      </c>
      <c r="O51">
        <v>980</v>
      </c>
      <c r="P51" s="6">
        <v>53280</v>
      </c>
      <c r="Q51" s="6">
        <v>0</v>
      </c>
      <c r="R51" s="6">
        <v>105106</v>
      </c>
      <c r="S51" s="6">
        <v>114935</v>
      </c>
      <c r="T51" s="6">
        <v>753814</v>
      </c>
      <c r="U51" s="6">
        <v>411482</v>
      </c>
      <c r="V51" s="6">
        <v>342332</v>
      </c>
    </row>
    <row r="52" spans="1:22" x14ac:dyDescent="0.25">
      <c r="A52">
        <v>2026</v>
      </c>
      <c r="B52" s="1" t="s">
        <v>20</v>
      </c>
      <c r="C52" t="s">
        <v>55</v>
      </c>
      <c r="D52" s="1" t="s">
        <v>454</v>
      </c>
      <c r="E52" t="s">
        <v>129</v>
      </c>
      <c r="F52" s="6">
        <v>248507</v>
      </c>
      <c r="G52" s="6">
        <v>196460</v>
      </c>
      <c r="H52" s="6">
        <v>42078</v>
      </c>
      <c r="I52" s="6">
        <v>154382</v>
      </c>
      <c r="J52" s="6">
        <v>52047</v>
      </c>
      <c r="K52" s="6">
        <v>9066</v>
      </c>
      <c r="L52" s="6">
        <v>215495</v>
      </c>
      <c r="M52">
        <v>403</v>
      </c>
      <c r="N52">
        <v>107</v>
      </c>
      <c r="O52">
        <v>510</v>
      </c>
      <c r="P52" s="6">
        <v>26451</v>
      </c>
      <c r="Q52" s="6">
        <v>0</v>
      </c>
      <c r="R52" s="6">
        <v>39189</v>
      </c>
      <c r="S52" s="6">
        <v>43332</v>
      </c>
      <c r="T52" s="6">
        <v>324977</v>
      </c>
      <c r="U52" s="6">
        <v>181236</v>
      </c>
      <c r="V52" s="6">
        <v>143741</v>
      </c>
    </row>
    <row r="53" spans="1:22" x14ac:dyDescent="0.25">
      <c r="A53">
        <v>2026</v>
      </c>
      <c r="B53" s="1" t="s">
        <v>21</v>
      </c>
      <c r="C53" t="s">
        <v>56</v>
      </c>
      <c r="D53" s="1" t="s">
        <v>455</v>
      </c>
      <c r="E53" t="s">
        <v>130</v>
      </c>
      <c r="F53" s="6">
        <v>327985</v>
      </c>
      <c r="G53" s="6">
        <v>261267</v>
      </c>
      <c r="H53" s="6">
        <v>55960</v>
      </c>
      <c r="I53" s="6">
        <v>205307</v>
      </c>
      <c r="J53" s="6">
        <v>66718</v>
      </c>
      <c r="K53">
        <v>0</v>
      </c>
      <c r="L53" s="6">
        <v>272025</v>
      </c>
      <c r="M53">
        <v>596</v>
      </c>
      <c r="N53">
        <v>152</v>
      </c>
      <c r="O53">
        <v>748</v>
      </c>
      <c r="P53" s="6">
        <v>32999</v>
      </c>
      <c r="Q53" s="6">
        <v>0</v>
      </c>
      <c r="R53" s="6">
        <v>56320</v>
      </c>
      <c r="S53" s="6">
        <v>61930</v>
      </c>
      <c r="T53" s="6">
        <v>424022</v>
      </c>
      <c r="U53" s="6">
        <v>238902</v>
      </c>
      <c r="V53" s="6">
        <v>185120</v>
      </c>
    </row>
    <row r="54" spans="1:22" x14ac:dyDescent="0.25">
      <c r="A54">
        <v>2026</v>
      </c>
      <c r="B54" s="1" t="s">
        <v>19</v>
      </c>
      <c r="C54" t="s">
        <v>54</v>
      </c>
      <c r="D54" s="1" t="s">
        <v>456</v>
      </c>
      <c r="E54" t="s">
        <v>131</v>
      </c>
      <c r="F54" s="6">
        <v>284453</v>
      </c>
      <c r="G54" s="6">
        <v>220717</v>
      </c>
      <c r="H54" s="6">
        <v>47274</v>
      </c>
      <c r="I54" s="6">
        <v>173443</v>
      </c>
      <c r="J54" s="6">
        <v>63736</v>
      </c>
      <c r="K54" s="6">
        <v>11618</v>
      </c>
      <c r="L54" s="6">
        <v>248797</v>
      </c>
      <c r="M54">
        <v>414</v>
      </c>
      <c r="N54">
        <v>120</v>
      </c>
      <c r="O54">
        <v>534</v>
      </c>
      <c r="P54" s="6">
        <v>29848</v>
      </c>
      <c r="Q54" s="6">
        <v>0</v>
      </c>
      <c r="R54" s="6">
        <v>57699</v>
      </c>
      <c r="S54" s="6">
        <v>64585</v>
      </c>
      <c r="T54" s="6">
        <v>401463</v>
      </c>
      <c r="U54" s="6">
        <v>203705</v>
      </c>
      <c r="V54" s="6">
        <v>197758</v>
      </c>
    </row>
    <row r="55" spans="1:22" x14ac:dyDescent="0.25">
      <c r="A55">
        <v>2026</v>
      </c>
      <c r="B55" s="1" t="s">
        <v>15</v>
      </c>
      <c r="C55" t="s">
        <v>50</v>
      </c>
      <c r="D55" s="1" t="s">
        <v>457</v>
      </c>
      <c r="E55" t="s">
        <v>132</v>
      </c>
      <c r="F55" s="6">
        <v>309086</v>
      </c>
      <c r="G55" s="6">
        <v>242049</v>
      </c>
      <c r="H55" s="6">
        <v>51843</v>
      </c>
      <c r="I55" s="6">
        <v>190206</v>
      </c>
      <c r="J55" s="6">
        <v>67037</v>
      </c>
      <c r="K55" s="6">
        <v>549</v>
      </c>
      <c r="L55" s="6">
        <v>257792</v>
      </c>
      <c r="M55">
        <v>295</v>
      </c>
      <c r="N55">
        <v>82</v>
      </c>
      <c r="O55">
        <v>377</v>
      </c>
      <c r="P55" s="6">
        <v>37939</v>
      </c>
      <c r="Q55" s="6">
        <v>0</v>
      </c>
      <c r="R55" s="6">
        <v>53015</v>
      </c>
      <c r="S55" s="6">
        <v>59097</v>
      </c>
      <c r="T55" s="6">
        <v>408220</v>
      </c>
      <c r="U55" s="6">
        <v>228441</v>
      </c>
      <c r="V55" s="6">
        <v>179779</v>
      </c>
    </row>
    <row r="56" spans="1:22" x14ac:dyDescent="0.25">
      <c r="A56">
        <v>2026</v>
      </c>
      <c r="B56" s="1" t="s">
        <v>21</v>
      </c>
      <c r="C56" t="s">
        <v>56</v>
      </c>
      <c r="D56" s="1" t="s">
        <v>458</v>
      </c>
      <c r="E56" t="s">
        <v>133</v>
      </c>
      <c r="F56" s="6">
        <v>511862</v>
      </c>
      <c r="G56" s="6">
        <v>407740</v>
      </c>
      <c r="H56" s="6">
        <v>87331</v>
      </c>
      <c r="I56" s="6">
        <v>320409</v>
      </c>
      <c r="J56" s="6">
        <v>104122</v>
      </c>
      <c r="K56">
        <v>0</v>
      </c>
      <c r="L56" s="6">
        <v>424531</v>
      </c>
      <c r="M56">
        <v>930</v>
      </c>
      <c r="N56">
        <v>238</v>
      </c>
      <c r="O56" s="6">
        <v>1168</v>
      </c>
      <c r="P56" s="6">
        <v>51499</v>
      </c>
      <c r="Q56" s="6">
        <v>0</v>
      </c>
      <c r="R56" s="6">
        <v>86462</v>
      </c>
      <c r="S56" s="6">
        <v>95073</v>
      </c>
      <c r="T56" s="6">
        <v>658733</v>
      </c>
      <c r="U56" s="6">
        <v>372838</v>
      </c>
      <c r="V56" s="6">
        <v>285895</v>
      </c>
    </row>
    <row r="57" spans="1:22" x14ac:dyDescent="0.25">
      <c r="A57">
        <v>2026</v>
      </c>
      <c r="B57" s="1" t="s">
        <v>15</v>
      </c>
      <c r="C57" t="s">
        <v>50</v>
      </c>
      <c r="D57" s="1" t="s">
        <v>459</v>
      </c>
      <c r="E57" t="s">
        <v>134</v>
      </c>
      <c r="F57" s="6">
        <v>605517</v>
      </c>
      <c r="G57" s="6">
        <v>474187</v>
      </c>
      <c r="H57" s="6">
        <v>101564</v>
      </c>
      <c r="I57" s="6">
        <v>372623</v>
      </c>
      <c r="J57" s="6">
        <v>131330</v>
      </c>
      <c r="K57" s="6">
        <v>8248</v>
      </c>
      <c r="L57" s="6">
        <v>512201</v>
      </c>
      <c r="M57">
        <v>580</v>
      </c>
      <c r="N57">
        <v>160</v>
      </c>
      <c r="O57">
        <v>740</v>
      </c>
      <c r="P57" s="6">
        <v>75584</v>
      </c>
      <c r="Q57" s="6">
        <v>0</v>
      </c>
      <c r="R57" s="6">
        <v>107533</v>
      </c>
      <c r="S57" s="6">
        <v>119869</v>
      </c>
      <c r="T57" s="6">
        <v>815927</v>
      </c>
      <c r="U57" s="6">
        <v>448787</v>
      </c>
      <c r="V57" s="6">
        <v>367140</v>
      </c>
    </row>
    <row r="58" spans="1:22" x14ac:dyDescent="0.25">
      <c r="A58">
        <v>2026</v>
      </c>
      <c r="B58" s="1" t="s">
        <v>19</v>
      </c>
      <c r="C58" t="s">
        <v>54</v>
      </c>
      <c r="D58" s="1" t="s">
        <v>460</v>
      </c>
      <c r="E58" t="s">
        <v>135</v>
      </c>
      <c r="F58" s="6">
        <v>121187</v>
      </c>
      <c r="G58" s="6">
        <v>94033</v>
      </c>
      <c r="H58" s="6">
        <v>20141</v>
      </c>
      <c r="I58" s="6">
        <v>73892</v>
      </c>
      <c r="J58" s="6">
        <v>27154</v>
      </c>
      <c r="K58" s="6">
        <v>0</v>
      </c>
      <c r="L58" s="6">
        <v>101046</v>
      </c>
      <c r="M58">
        <v>177</v>
      </c>
      <c r="N58">
        <v>51</v>
      </c>
      <c r="O58">
        <v>228</v>
      </c>
      <c r="P58" s="6">
        <v>12221</v>
      </c>
      <c r="Q58" s="6">
        <v>0</v>
      </c>
      <c r="R58" s="6">
        <v>19059</v>
      </c>
      <c r="S58" s="6">
        <v>21334</v>
      </c>
      <c r="T58" s="6">
        <v>153888</v>
      </c>
      <c r="U58" s="6">
        <v>86290</v>
      </c>
      <c r="V58" s="6">
        <v>67598</v>
      </c>
    </row>
    <row r="59" spans="1:22" x14ac:dyDescent="0.25">
      <c r="A59">
        <v>2026</v>
      </c>
      <c r="B59" s="1" t="s">
        <v>19</v>
      </c>
      <c r="C59" t="s">
        <v>54</v>
      </c>
      <c r="D59" s="1" t="s">
        <v>461</v>
      </c>
      <c r="E59" t="s">
        <v>136</v>
      </c>
      <c r="F59" s="6">
        <v>423358</v>
      </c>
      <c r="G59" s="6">
        <v>328498</v>
      </c>
      <c r="H59" s="6">
        <v>70359</v>
      </c>
      <c r="I59" s="6">
        <v>258139</v>
      </c>
      <c r="J59" s="6">
        <v>94860</v>
      </c>
      <c r="K59">
        <v>0</v>
      </c>
      <c r="L59" s="6">
        <v>352999</v>
      </c>
      <c r="M59">
        <v>615</v>
      </c>
      <c r="N59">
        <v>178</v>
      </c>
      <c r="O59">
        <v>793</v>
      </c>
      <c r="P59" s="6">
        <v>42693</v>
      </c>
      <c r="Q59" s="6">
        <v>0</v>
      </c>
      <c r="R59" s="6">
        <v>65792</v>
      </c>
      <c r="S59" s="6">
        <v>73644</v>
      </c>
      <c r="T59" s="6">
        <v>535921</v>
      </c>
      <c r="U59" s="6">
        <v>301447</v>
      </c>
      <c r="V59" s="6">
        <v>234474</v>
      </c>
    </row>
    <row r="60" spans="1:22" x14ac:dyDescent="0.25">
      <c r="A60">
        <v>2026</v>
      </c>
      <c r="B60" s="1" t="s">
        <v>20</v>
      </c>
      <c r="C60" t="s">
        <v>55</v>
      </c>
      <c r="D60" s="1" t="s">
        <v>462</v>
      </c>
      <c r="E60" t="s">
        <v>137</v>
      </c>
      <c r="F60" s="6">
        <v>375636</v>
      </c>
      <c r="G60" s="6">
        <v>296962</v>
      </c>
      <c r="H60" s="6">
        <v>63605</v>
      </c>
      <c r="I60" s="6">
        <v>233357</v>
      </c>
      <c r="J60" s="6">
        <v>78674</v>
      </c>
      <c r="K60" s="6">
        <v>0</v>
      </c>
      <c r="L60" s="6">
        <v>312031</v>
      </c>
      <c r="M60">
        <v>607</v>
      </c>
      <c r="N60">
        <v>161</v>
      </c>
      <c r="O60">
        <v>768</v>
      </c>
      <c r="P60" s="6">
        <v>38573</v>
      </c>
      <c r="Q60" s="6">
        <v>0</v>
      </c>
      <c r="R60" s="6">
        <v>66485</v>
      </c>
      <c r="S60" s="6">
        <v>73513</v>
      </c>
      <c r="T60" s="6">
        <v>491370</v>
      </c>
      <c r="U60" s="6">
        <v>272537</v>
      </c>
      <c r="V60" s="6">
        <v>218833</v>
      </c>
    </row>
    <row r="61" spans="1:22" x14ac:dyDescent="0.25">
      <c r="A61">
        <v>2026</v>
      </c>
      <c r="B61" s="1" t="s">
        <v>14</v>
      </c>
      <c r="C61" t="s">
        <v>49</v>
      </c>
      <c r="D61" s="1" t="s">
        <v>463</v>
      </c>
      <c r="E61" t="s">
        <v>138</v>
      </c>
      <c r="F61" s="6">
        <v>387713</v>
      </c>
      <c r="G61" s="6">
        <v>298017</v>
      </c>
      <c r="H61" s="6">
        <v>63830</v>
      </c>
      <c r="I61" s="6">
        <v>234187</v>
      </c>
      <c r="J61" s="6">
        <v>89696</v>
      </c>
      <c r="K61" s="6">
        <v>2582</v>
      </c>
      <c r="L61" s="6">
        <v>326465</v>
      </c>
      <c r="M61">
        <v>0</v>
      </c>
      <c r="N61">
        <v>0</v>
      </c>
      <c r="O61">
        <v>0</v>
      </c>
      <c r="P61" s="6">
        <v>41020</v>
      </c>
      <c r="Q61" s="6">
        <v>0</v>
      </c>
      <c r="R61" s="6">
        <v>63837</v>
      </c>
      <c r="S61" s="6">
        <v>71477</v>
      </c>
      <c r="T61" s="6">
        <v>502799</v>
      </c>
      <c r="U61" s="6">
        <v>275207</v>
      </c>
      <c r="V61" s="6">
        <v>227592</v>
      </c>
    </row>
    <row r="62" spans="1:22" x14ac:dyDescent="0.25">
      <c r="A62">
        <v>2026</v>
      </c>
      <c r="B62" s="1" t="s">
        <v>20</v>
      </c>
      <c r="C62" t="s">
        <v>55</v>
      </c>
      <c r="D62" s="1" t="s">
        <v>464</v>
      </c>
      <c r="E62" t="s">
        <v>139</v>
      </c>
      <c r="F62" s="6">
        <v>583247</v>
      </c>
      <c r="G62" s="6">
        <v>461091</v>
      </c>
      <c r="H62" s="6">
        <v>98758</v>
      </c>
      <c r="I62" s="6">
        <v>362333</v>
      </c>
      <c r="J62" s="6">
        <v>122156</v>
      </c>
      <c r="K62">
        <v>0</v>
      </c>
      <c r="L62" s="6">
        <v>484489</v>
      </c>
      <c r="M62">
        <v>941</v>
      </c>
      <c r="N62">
        <v>249</v>
      </c>
      <c r="O62" s="6">
        <v>1190</v>
      </c>
      <c r="P62" s="6">
        <v>59892</v>
      </c>
      <c r="Q62" s="6">
        <v>0</v>
      </c>
      <c r="R62" s="6">
        <v>96380</v>
      </c>
      <c r="S62" s="6">
        <v>106568</v>
      </c>
      <c r="T62" s="6">
        <v>748519</v>
      </c>
      <c r="U62" s="6">
        <v>423166</v>
      </c>
      <c r="V62" s="6">
        <v>325353</v>
      </c>
    </row>
    <row r="63" spans="1:22" x14ac:dyDescent="0.25">
      <c r="A63">
        <v>2026</v>
      </c>
      <c r="B63" s="1" t="s">
        <v>15</v>
      </c>
      <c r="C63" t="s">
        <v>50</v>
      </c>
      <c r="D63" s="1" t="s">
        <v>465</v>
      </c>
      <c r="E63" t="s">
        <v>140</v>
      </c>
      <c r="F63" s="6">
        <v>116090</v>
      </c>
      <c r="G63" s="6">
        <v>90912</v>
      </c>
      <c r="H63" s="6">
        <v>19471</v>
      </c>
      <c r="I63" s="6">
        <v>71441</v>
      </c>
      <c r="J63" s="6">
        <v>25178</v>
      </c>
      <c r="K63" s="6">
        <v>1704</v>
      </c>
      <c r="L63" s="6">
        <v>98323</v>
      </c>
      <c r="M63">
        <v>110</v>
      </c>
      <c r="N63">
        <v>31</v>
      </c>
      <c r="O63">
        <v>141</v>
      </c>
      <c r="P63" s="6">
        <v>14249</v>
      </c>
      <c r="Q63" s="6">
        <v>0</v>
      </c>
      <c r="R63" s="6">
        <v>18151</v>
      </c>
      <c r="S63" s="6">
        <v>20233</v>
      </c>
      <c r="T63" s="6">
        <v>151097</v>
      </c>
      <c r="U63" s="6">
        <v>85800</v>
      </c>
      <c r="V63" s="6">
        <v>65297</v>
      </c>
    </row>
    <row r="64" spans="1:22" x14ac:dyDescent="0.25">
      <c r="A64">
        <v>2026</v>
      </c>
      <c r="B64" s="1" t="s">
        <v>14</v>
      </c>
      <c r="C64" t="s">
        <v>49</v>
      </c>
      <c r="D64" s="1" t="s">
        <v>466</v>
      </c>
      <c r="E64" t="s">
        <v>141</v>
      </c>
      <c r="F64" s="6">
        <v>106023</v>
      </c>
      <c r="G64" s="6">
        <v>81495</v>
      </c>
      <c r="H64" s="6">
        <v>17455</v>
      </c>
      <c r="I64" s="6">
        <v>64040</v>
      </c>
      <c r="J64" s="6">
        <v>24528</v>
      </c>
      <c r="K64" s="6">
        <v>19010</v>
      </c>
      <c r="L64" s="6">
        <v>107578</v>
      </c>
      <c r="M64">
        <v>0</v>
      </c>
      <c r="N64">
        <v>0</v>
      </c>
      <c r="O64">
        <v>0</v>
      </c>
      <c r="P64" s="6">
        <v>11217</v>
      </c>
      <c r="Q64" s="6">
        <v>0</v>
      </c>
      <c r="R64" s="6">
        <v>19798</v>
      </c>
      <c r="S64" s="6">
        <v>22167</v>
      </c>
      <c r="T64" s="6">
        <v>160760</v>
      </c>
      <c r="U64" s="6">
        <v>75257</v>
      </c>
      <c r="V64" s="6">
        <v>85503</v>
      </c>
    </row>
    <row r="65" spans="1:22" x14ac:dyDescent="0.25">
      <c r="A65">
        <v>2026</v>
      </c>
      <c r="B65" s="1" t="s">
        <v>13</v>
      </c>
      <c r="C65" t="s">
        <v>48</v>
      </c>
      <c r="D65" s="1" t="s">
        <v>467</v>
      </c>
      <c r="E65" t="s">
        <v>142</v>
      </c>
      <c r="F65" s="6">
        <v>260838</v>
      </c>
      <c r="G65" s="6">
        <v>198149</v>
      </c>
      <c r="H65" s="6">
        <v>42440</v>
      </c>
      <c r="I65" s="6">
        <v>155709</v>
      </c>
      <c r="J65" s="6">
        <v>62689</v>
      </c>
      <c r="K65">
        <v>0</v>
      </c>
      <c r="L65" s="6">
        <v>218398</v>
      </c>
      <c r="M65">
        <v>513</v>
      </c>
      <c r="N65">
        <v>163</v>
      </c>
      <c r="O65">
        <v>676</v>
      </c>
      <c r="P65" s="6">
        <v>25867</v>
      </c>
      <c r="Q65" s="6">
        <v>0</v>
      </c>
      <c r="R65" s="6">
        <v>42354</v>
      </c>
      <c r="S65" s="6">
        <v>47176</v>
      </c>
      <c r="T65" s="6">
        <v>334471</v>
      </c>
      <c r="U65" s="6">
        <v>182089</v>
      </c>
      <c r="V65" s="6">
        <v>152382</v>
      </c>
    </row>
    <row r="66" spans="1:22" x14ac:dyDescent="0.25">
      <c r="A66">
        <v>2026</v>
      </c>
      <c r="B66" s="1" t="s">
        <v>17</v>
      </c>
      <c r="C66" t="s">
        <v>52</v>
      </c>
      <c r="D66" s="1" t="s">
        <v>468</v>
      </c>
      <c r="E66" t="s">
        <v>143</v>
      </c>
      <c r="F66" s="6">
        <v>1226564</v>
      </c>
      <c r="G66" s="6">
        <v>972345</v>
      </c>
      <c r="H66" s="6">
        <v>208261</v>
      </c>
      <c r="I66" s="6">
        <v>764084</v>
      </c>
      <c r="J66" s="6">
        <v>254219</v>
      </c>
      <c r="K66">
        <v>0</v>
      </c>
      <c r="L66" s="6">
        <v>1018303</v>
      </c>
      <c r="M66" s="6">
        <v>1079</v>
      </c>
      <c r="N66">
        <v>282</v>
      </c>
      <c r="O66" s="6">
        <v>1361</v>
      </c>
      <c r="P66" s="6">
        <v>116541</v>
      </c>
      <c r="Q66" s="6">
        <v>0</v>
      </c>
      <c r="R66" s="6">
        <v>207546</v>
      </c>
      <c r="S66" s="6">
        <v>228243</v>
      </c>
      <c r="T66" s="6">
        <v>1571994</v>
      </c>
      <c r="U66" s="6">
        <v>881704</v>
      </c>
      <c r="V66" s="6">
        <v>690290</v>
      </c>
    </row>
    <row r="67" spans="1:22" x14ac:dyDescent="0.25">
      <c r="A67">
        <v>2026</v>
      </c>
      <c r="B67" s="1" t="s">
        <v>15</v>
      </c>
      <c r="C67" t="s">
        <v>50</v>
      </c>
      <c r="D67" s="1" t="s">
        <v>469</v>
      </c>
      <c r="E67" t="s">
        <v>144</v>
      </c>
      <c r="F67" s="6">
        <v>455395</v>
      </c>
      <c r="G67" s="6">
        <v>356625</v>
      </c>
      <c r="H67" s="6">
        <v>76383</v>
      </c>
      <c r="I67" s="6">
        <v>280242</v>
      </c>
      <c r="J67" s="6">
        <v>98770</v>
      </c>
      <c r="K67" s="6">
        <v>30</v>
      </c>
      <c r="L67" s="6">
        <v>379042</v>
      </c>
      <c r="M67">
        <v>436</v>
      </c>
      <c r="N67">
        <v>121</v>
      </c>
      <c r="O67">
        <v>557</v>
      </c>
      <c r="P67" s="6">
        <v>55897</v>
      </c>
      <c r="Q67" s="6">
        <v>0</v>
      </c>
      <c r="R67" s="6">
        <v>77630</v>
      </c>
      <c r="S67" s="6">
        <v>86535</v>
      </c>
      <c r="T67" s="6">
        <v>599661</v>
      </c>
      <c r="U67" s="6">
        <v>336575</v>
      </c>
      <c r="V67" s="6">
        <v>263086</v>
      </c>
    </row>
    <row r="68" spans="1:22" x14ac:dyDescent="0.25">
      <c r="A68">
        <v>2026</v>
      </c>
      <c r="B68" s="1" t="s">
        <v>16</v>
      </c>
      <c r="C68" t="s">
        <v>51</v>
      </c>
      <c r="D68" s="1" t="s">
        <v>470</v>
      </c>
      <c r="E68" t="s">
        <v>145</v>
      </c>
      <c r="F68" s="6">
        <v>1534324</v>
      </c>
      <c r="G68" s="6">
        <v>1209647</v>
      </c>
      <c r="H68" s="6">
        <v>259087</v>
      </c>
      <c r="I68" s="6">
        <v>950560</v>
      </c>
      <c r="J68" s="6">
        <v>324677</v>
      </c>
      <c r="K68">
        <v>0</v>
      </c>
      <c r="L68" s="6">
        <v>1275237</v>
      </c>
      <c r="M68" s="6">
        <v>2051</v>
      </c>
      <c r="N68">
        <v>550</v>
      </c>
      <c r="O68" s="6">
        <v>2601</v>
      </c>
      <c r="P68" s="6">
        <v>141695</v>
      </c>
      <c r="Q68" s="6">
        <v>0</v>
      </c>
      <c r="R68" s="6">
        <v>244426</v>
      </c>
      <c r="S68" s="6">
        <v>267284</v>
      </c>
      <c r="T68" s="6">
        <v>1931243</v>
      </c>
      <c r="U68" s="6">
        <v>1094306</v>
      </c>
      <c r="V68" s="6">
        <v>836937</v>
      </c>
    </row>
    <row r="69" spans="1:22" x14ac:dyDescent="0.25">
      <c r="A69">
        <v>2026</v>
      </c>
      <c r="B69" s="1" t="s">
        <v>18</v>
      </c>
      <c r="C69" t="s">
        <v>53</v>
      </c>
      <c r="D69" s="1" t="s">
        <v>471</v>
      </c>
      <c r="E69" t="s">
        <v>146</v>
      </c>
      <c r="F69" s="6">
        <v>268984</v>
      </c>
      <c r="G69" s="6">
        <v>217673</v>
      </c>
      <c r="H69" s="6">
        <v>46622</v>
      </c>
      <c r="I69" s="6">
        <v>171051</v>
      </c>
      <c r="J69" s="6">
        <v>51311</v>
      </c>
      <c r="K69" s="6">
        <v>2934</v>
      </c>
      <c r="L69" s="6">
        <v>225296</v>
      </c>
      <c r="M69">
        <v>0</v>
      </c>
      <c r="N69">
        <v>0</v>
      </c>
      <c r="O69">
        <v>0</v>
      </c>
      <c r="P69" s="6">
        <v>23277</v>
      </c>
      <c r="Q69" s="6">
        <v>0</v>
      </c>
      <c r="R69" s="6">
        <v>45143</v>
      </c>
      <c r="S69" s="6">
        <v>49611</v>
      </c>
      <c r="T69" s="6">
        <v>343327</v>
      </c>
      <c r="U69" s="6">
        <v>194328</v>
      </c>
      <c r="V69" s="6">
        <v>148999</v>
      </c>
    </row>
    <row r="70" spans="1:22" x14ac:dyDescent="0.25">
      <c r="A70">
        <v>2026</v>
      </c>
      <c r="B70" s="1" t="s">
        <v>17</v>
      </c>
      <c r="C70" t="s">
        <v>52</v>
      </c>
      <c r="D70" s="1" t="s">
        <v>472</v>
      </c>
      <c r="E70" t="s">
        <v>147</v>
      </c>
      <c r="F70" s="6">
        <v>1983269</v>
      </c>
      <c r="G70" s="6">
        <v>1572215</v>
      </c>
      <c r="H70" s="6">
        <v>336743</v>
      </c>
      <c r="I70" s="6">
        <v>1235472</v>
      </c>
      <c r="J70" s="6">
        <v>411054</v>
      </c>
      <c r="K70">
        <v>0</v>
      </c>
      <c r="L70" s="6">
        <v>1646526</v>
      </c>
      <c r="M70" s="6">
        <v>1747</v>
      </c>
      <c r="N70">
        <v>457</v>
      </c>
      <c r="O70" s="6">
        <v>2204</v>
      </c>
      <c r="P70" s="6">
        <v>188438</v>
      </c>
      <c r="Q70" s="6">
        <v>0</v>
      </c>
      <c r="R70" s="6">
        <v>343224</v>
      </c>
      <c r="S70" s="6">
        <v>377452</v>
      </c>
      <c r="T70" s="6">
        <v>2557844</v>
      </c>
      <c r="U70" s="6">
        <v>1425657</v>
      </c>
      <c r="V70" s="6">
        <v>1132187</v>
      </c>
    </row>
    <row r="71" spans="1:22" x14ac:dyDescent="0.25">
      <c r="A71">
        <v>2026</v>
      </c>
      <c r="B71" s="1" t="s">
        <v>18</v>
      </c>
      <c r="C71" t="s">
        <v>53</v>
      </c>
      <c r="D71" s="1" t="s">
        <v>473</v>
      </c>
      <c r="E71" t="s">
        <v>148</v>
      </c>
      <c r="F71" s="6">
        <v>162457</v>
      </c>
      <c r="G71" s="6">
        <v>131467</v>
      </c>
      <c r="H71" s="6">
        <v>28158</v>
      </c>
      <c r="I71" s="6">
        <v>103309</v>
      </c>
      <c r="J71" s="6">
        <v>30990</v>
      </c>
      <c r="K71" s="6">
        <v>9406</v>
      </c>
      <c r="L71" s="6">
        <v>143705</v>
      </c>
      <c r="M71">
        <v>0</v>
      </c>
      <c r="N71">
        <v>0</v>
      </c>
      <c r="O71">
        <v>0</v>
      </c>
      <c r="P71" s="6">
        <v>14631</v>
      </c>
      <c r="Q71" s="6">
        <v>0</v>
      </c>
      <c r="R71" s="6">
        <v>27306</v>
      </c>
      <c r="S71" s="6">
        <v>30009</v>
      </c>
      <c r="T71" s="6">
        <v>215651</v>
      </c>
      <c r="U71" s="6">
        <v>117940</v>
      </c>
      <c r="V71" s="6">
        <v>97711</v>
      </c>
    </row>
    <row r="72" spans="1:22" x14ac:dyDescent="0.25">
      <c r="A72">
        <v>2026</v>
      </c>
      <c r="B72" s="1" t="s">
        <v>18</v>
      </c>
      <c r="C72" t="s">
        <v>53</v>
      </c>
      <c r="D72" s="1" t="s">
        <v>474</v>
      </c>
      <c r="E72" t="s">
        <v>149</v>
      </c>
      <c r="F72" s="6">
        <v>175155</v>
      </c>
      <c r="G72" s="6">
        <v>141743</v>
      </c>
      <c r="H72" s="6">
        <v>30359</v>
      </c>
      <c r="I72" s="6">
        <v>111384</v>
      </c>
      <c r="J72" s="6">
        <v>33412</v>
      </c>
      <c r="K72">
        <v>0</v>
      </c>
      <c r="L72" s="6">
        <v>144796</v>
      </c>
      <c r="M72">
        <v>0</v>
      </c>
      <c r="N72">
        <v>0</v>
      </c>
      <c r="O72">
        <v>0</v>
      </c>
      <c r="P72" s="6">
        <v>15052</v>
      </c>
      <c r="Q72" s="6">
        <v>0</v>
      </c>
      <c r="R72" s="6">
        <v>29317</v>
      </c>
      <c r="S72" s="6">
        <v>32219</v>
      </c>
      <c r="T72" s="6">
        <v>221384</v>
      </c>
      <c r="U72" s="6">
        <v>126436</v>
      </c>
      <c r="V72" s="6">
        <v>94948</v>
      </c>
    </row>
    <row r="73" spans="1:22" x14ac:dyDescent="0.25">
      <c r="A73">
        <v>2026</v>
      </c>
      <c r="B73" s="1" t="s">
        <v>16</v>
      </c>
      <c r="C73" t="s">
        <v>51</v>
      </c>
      <c r="D73" s="1" t="s">
        <v>475</v>
      </c>
      <c r="E73" t="s">
        <v>150</v>
      </c>
      <c r="F73" s="6">
        <v>309058</v>
      </c>
      <c r="G73" s="6">
        <v>243658</v>
      </c>
      <c r="H73" s="6">
        <v>52187</v>
      </c>
      <c r="I73" s="6">
        <v>191471</v>
      </c>
      <c r="J73" s="6">
        <v>65400</v>
      </c>
      <c r="K73" s="6">
        <v>0</v>
      </c>
      <c r="L73" s="6">
        <v>256871</v>
      </c>
      <c r="M73">
        <v>414</v>
      </c>
      <c r="N73">
        <v>111</v>
      </c>
      <c r="O73">
        <v>525</v>
      </c>
      <c r="P73" s="6">
        <v>28542</v>
      </c>
      <c r="Q73" s="6">
        <v>0</v>
      </c>
      <c r="R73" s="6">
        <v>49572</v>
      </c>
      <c r="S73" s="6">
        <v>54208</v>
      </c>
      <c r="T73" s="6">
        <v>389718</v>
      </c>
      <c r="U73" s="6">
        <v>220427</v>
      </c>
      <c r="V73" s="6">
        <v>169291</v>
      </c>
    </row>
    <row r="74" spans="1:22" x14ac:dyDescent="0.25">
      <c r="A74">
        <v>2026</v>
      </c>
      <c r="B74" s="1" t="s">
        <v>18</v>
      </c>
      <c r="C74" t="s">
        <v>53</v>
      </c>
      <c r="D74" s="1" t="s">
        <v>476</v>
      </c>
      <c r="E74" t="s">
        <v>151</v>
      </c>
      <c r="F74" s="6">
        <v>174350</v>
      </c>
      <c r="G74" s="6">
        <v>141091</v>
      </c>
      <c r="H74" s="6">
        <v>30220</v>
      </c>
      <c r="I74" s="6">
        <v>110871</v>
      </c>
      <c r="J74" s="6">
        <v>33259</v>
      </c>
      <c r="K74">
        <v>0</v>
      </c>
      <c r="L74" s="6">
        <v>144130</v>
      </c>
      <c r="M74">
        <v>0</v>
      </c>
      <c r="N74">
        <v>0</v>
      </c>
      <c r="O74">
        <v>0</v>
      </c>
      <c r="P74" s="6">
        <v>14983</v>
      </c>
      <c r="Q74" s="6">
        <v>0</v>
      </c>
      <c r="R74" s="6">
        <v>28733</v>
      </c>
      <c r="S74" s="6">
        <v>31577</v>
      </c>
      <c r="T74" s="6">
        <v>219423</v>
      </c>
      <c r="U74" s="6">
        <v>125854</v>
      </c>
      <c r="V74" s="6">
        <v>93569</v>
      </c>
    </row>
    <row r="75" spans="1:22" x14ac:dyDescent="0.25">
      <c r="A75">
        <v>2026</v>
      </c>
      <c r="B75" s="1" t="s">
        <v>20</v>
      </c>
      <c r="C75" t="s">
        <v>55</v>
      </c>
      <c r="D75" s="1" t="s">
        <v>477</v>
      </c>
      <c r="E75" t="s">
        <v>152</v>
      </c>
      <c r="F75" s="6">
        <v>158940</v>
      </c>
      <c r="G75" s="6">
        <v>125652</v>
      </c>
      <c r="H75" s="6">
        <v>26913</v>
      </c>
      <c r="I75" s="6">
        <v>98739</v>
      </c>
      <c r="J75" s="6">
        <v>33288</v>
      </c>
      <c r="K75" s="6">
        <v>0</v>
      </c>
      <c r="L75" s="6">
        <v>132027</v>
      </c>
      <c r="M75">
        <v>257</v>
      </c>
      <c r="N75">
        <v>68</v>
      </c>
      <c r="O75">
        <v>325</v>
      </c>
      <c r="P75" s="6">
        <v>16321</v>
      </c>
      <c r="Q75" s="6">
        <v>0</v>
      </c>
      <c r="R75" s="6">
        <v>26061</v>
      </c>
      <c r="S75" s="6">
        <v>28816</v>
      </c>
      <c r="T75" s="6">
        <v>203550</v>
      </c>
      <c r="U75" s="6">
        <v>115316</v>
      </c>
      <c r="V75" s="6">
        <v>88234</v>
      </c>
    </row>
    <row r="76" spans="1:22" x14ac:dyDescent="0.25">
      <c r="A76">
        <v>2026</v>
      </c>
      <c r="B76" s="1" t="s">
        <v>20</v>
      </c>
      <c r="C76" t="s">
        <v>55</v>
      </c>
      <c r="D76" s="1" t="s">
        <v>478</v>
      </c>
      <c r="E76" t="s">
        <v>153</v>
      </c>
      <c r="F76" s="6">
        <v>3701325</v>
      </c>
      <c r="G76" s="6">
        <v>2926116</v>
      </c>
      <c r="H76" s="6">
        <v>626727</v>
      </c>
      <c r="I76" s="6">
        <v>2299389</v>
      </c>
      <c r="J76" s="6">
        <v>775209</v>
      </c>
      <c r="K76" s="6">
        <v>14980</v>
      </c>
      <c r="L76" s="6">
        <v>3089578</v>
      </c>
      <c r="M76" s="6">
        <v>5975</v>
      </c>
      <c r="N76" s="6">
        <v>1583</v>
      </c>
      <c r="O76" s="6">
        <v>7558</v>
      </c>
      <c r="P76" s="6">
        <v>381641</v>
      </c>
      <c r="Q76" s="6">
        <v>0</v>
      </c>
      <c r="R76" s="6">
        <v>582050</v>
      </c>
      <c r="S76" s="6">
        <v>643578</v>
      </c>
      <c r="T76" s="6">
        <v>4704405</v>
      </c>
      <c r="U76" s="6">
        <v>2687006</v>
      </c>
      <c r="V76" s="6">
        <v>2017399</v>
      </c>
    </row>
    <row r="77" spans="1:22" x14ac:dyDescent="0.25">
      <c r="A77">
        <v>2026</v>
      </c>
      <c r="B77" s="1" t="s">
        <v>20</v>
      </c>
      <c r="C77" t="s">
        <v>55</v>
      </c>
      <c r="D77" s="1" t="s">
        <v>479</v>
      </c>
      <c r="E77" t="s">
        <v>154</v>
      </c>
      <c r="F77" s="6">
        <v>526742</v>
      </c>
      <c r="G77" s="6">
        <v>416421</v>
      </c>
      <c r="H77" s="6">
        <v>89190</v>
      </c>
      <c r="I77" s="6">
        <v>327231</v>
      </c>
      <c r="J77" s="6">
        <v>110321</v>
      </c>
      <c r="K77" s="6">
        <v>7198</v>
      </c>
      <c r="L77" s="6">
        <v>444750</v>
      </c>
      <c r="M77">
        <v>850</v>
      </c>
      <c r="N77">
        <v>225</v>
      </c>
      <c r="O77" s="6">
        <v>1075</v>
      </c>
      <c r="P77" s="6">
        <v>54832</v>
      </c>
      <c r="Q77" s="6">
        <v>0</v>
      </c>
      <c r="R77" s="6">
        <v>93716</v>
      </c>
      <c r="S77" s="6">
        <v>103622</v>
      </c>
      <c r="T77" s="6">
        <v>697995</v>
      </c>
      <c r="U77" s="6">
        <v>382913</v>
      </c>
      <c r="V77" s="6">
        <v>315082</v>
      </c>
    </row>
    <row r="78" spans="1:22" x14ac:dyDescent="0.25">
      <c r="A78">
        <v>2026</v>
      </c>
      <c r="B78" s="1" t="s">
        <v>18</v>
      </c>
      <c r="C78" t="s">
        <v>53</v>
      </c>
      <c r="D78" s="1" t="s">
        <v>480</v>
      </c>
      <c r="E78" t="s">
        <v>155</v>
      </c>
      <c r="F78" s="6">
        <v>1311314</v>
      </c>
      <c r="G78" s="6">
        <v>1061170</v>
      </c>
      <c r="H78" s="6">
        <v>227286</v>
      </c>
      <c r="I78" s="6">
        <v>833884</v>
      </c>
      <c r="J78" s="6">
        <v>250144</v>
      </c>
      <c r="K78">
        <v>0</v>
      </c>
      <c r="L78" s="6">
        <v>1084028</v>
      </c>
      <c r="M78">
        <v>0</v>
      </c>
      <c r="N78">
        <v>0</v>
      </c>
      <c r="O78">
        <v>0</v>
      </c>
      <c r="P78" s="6">
        <v>112692</v>
      </c>
      <c r="Q78" s="6">
        <v>0</v>
      </c>
      <c r="R78" s="6">
        <v>231485</v>
      </c>
      <c r="S78" s="6">
        <v>254398</v>
      </c>
      <c r="T78" s="6">
        <v>1682603</v>
      </c>
      <c r="U78" s="6">
        <v>946576</v>
      </c>
      <c r="V78" s="6">
        <v>736027</v>
      </c>
    </row>
    <row r="79" spans="1:22" x14ac:dyDescent="0.25">
      <c r="A79">
        <v>2026</v>
      </c>
      <c r="B79" s="1" t="s">
        <v>21</v>
      </c>
      <c r="C79" t="s">
        <v>56</v>
      </c>
      <c r="D79" s="1" t="s">
        <v>481</v>
      </c>
      <c r="E79" t="s">
        <v>156</v>
      </c>
      <c r="F79" s="6">
        <v>159540</v>
      </c>
      <c r="G79" s="6">
        <v>127087</v>
      </c>
      <c r="H79" s="6">
        <v>27220</v>
      </c>
      <c r="I79" s="6">
        <v>99867</v>
      </c>
      <c r="J79" s="6">
        <v>32453</v>
      </c>
      <c r="K79" s="6">
        <v>13570</v>
      </c>
      <c r="L79" s="6">
        <v>145890</v>
      </c>
      <c r="M79">
        <v>290</v>
      </c>
      <c r="N79">
        <v>74</v>
      </c>
      <c r="O79">
        <v>364</v>
      </c>
      <c r="P79" s="6">
        <v>16535</v>
      </c>
      <c r="Q79" s="6">
        <v>0</v>
      </c>
      <c r="R79" s="6">
        <v>27998</v>
      </c>
      <c r="S79" s="6">
        <v>30786</v>
      </c>
      <c r="T79" s="6">
        <v>221573</v>
      </c>
      <c r="U79" s="6">
        <v>116692</v>
      </c>
      <c r="V79" s="6">
        <v>104881</v>
      </c>
    </row>
    <row r="80" spans="1:22" x14ac:dyDescent="0.25">
      <c r="A80">
        <v>2026</v>
      </c>
      <c r="B80" s="1" t="s">
        <v>16</v>
      </c>
      <c r="C80" t="s">
        <v>51</v>
      </c>
      <c r="D80" s="1" t="s">
        <v>482</v>
      </c>
      <c r="E80" t="s">
        <v>157</v>
      </c>
      <c r="F80" s="6">
        <v>5656166</v>
      </c>
      <c r="G80" s="6">
        <v>4459271</v>
      </c>
      <c r="H80" s="6">
        <v>955105</v>
      </c>
      <c r="I80" s="6">
        <v>3504166</v>
      </c>
      <c r="J80" s="6">
        <v>1196895</v>
      </c>
      <c r="K80" s="6">
        <v>0</v>
      </c>
      <c r="L80" s="6">
        <v>4701061</v>
      </c>
      <c r="M80" s="6">
        <v>7573</v>
      </c>
      <c r="N80" s="6">
        <v>2033</v>
      </c>
      <c r="O80" s="6">
        <v>9606</v>
      </c>
      <c r="P80" s="6">
        <v>522349</v>
      </c>
      <c r="Q80" s="6">
        <v>0</v>
      </c>
      <c r="R80" s="6">
        <v>1011269</v>
      </c>
      <c r="S80" s="6">
        <v>1105841</v>
      </c>
      <c r="T80" s="6">
        <v>7350126</v>
      </c>
      <c r="U80" s="6">
        <v>4034089</v>
      </c>
      <c r="V80" s="6">
        <v>3316037</v>
      </c>
    </row>
    <row r="81" spans="1:22" x14ac:dyDescent="0.25">
      <c r="A81">
        <v>2026</v>
      </c>
      <c r="B81" s="1" t="s">
        <v>21</v>
      </c>
      <c r="C81" t="s">
        <v>56</v>
      </c>
      <c r="D81" s="1" t="s">
        <v>483</v>
      </c>
      <c r="E81" t="s">
        <v>158</v>
      </c>
      <c r="F81" s="6">
        <v>427352</v>
      </c>
      <c r="G81" s="6">
        <v>340421</v>
      </c>
      <c r="H81" s="6">
        <v>72913</v>
      </c>
      <c r="I81" s="6">
        <v>267508</v>
      </c>
      <c r="J81" s="6">
        <v>86931</v>
      </c>
      <c r="K81">
        <v>0</v>
      </c>
      <c r="L81" s="6">
        <v>354439</v>
      </c>
      <c r="M81">
        <v>778</v>
      </c>
      <c r="N81">
        <v>199</v>
      </c>
      <c r="O81">
        <v>977</v>
      </c>
      <c r="P81" s="6">
        <v>42997</v>
      </c>
      <c r="Q81" s="6">
        <v>0</v>
      </c>
      <c r="R81" s="6">
        <v>70417</v>
      </c>
      <c r="S81" s="6">
        <v>77430</v>
      </c>
      <c r="T81" s="6">
        <v>546260</v>
      </c>
      <c r="U81" s="6">
        <v>311283</v>
      </c>
      <c r="V81" s="6">
        <v>234977</v>
      </c>
    </row>
    <row r="82" spans="1:22" x14ac:dyDescent="0.25">
      <c r="A82">
        <v>2026</v>
      </c>
      <c r="B82" s="1" t="s">
        <v>13</v>
      </c>
      <c r="C82" t="s">
        <v>48</v>
      </c>
      <c r="D82" s="1" t="s">
        <v>484</v>
      </c>
      <c r="E82" t="s">
        <v>159</v>
      </c>
      <c r="F82" s="6">
        <v>593876</v>
      </c>
      <c r="G82" s="6">
        <v>451144</v>
      </c>
      <c r="H82" s="6">
        <v>96628</v>
      </c>
      <c r="I82" s="6">
        <v>354516</v>
      </c>
      <c r="J82" s="6">
        <v>142732</v>
      </c>
      <c r="K82" s="6">
        <v>10511</v>
      </c>
      <c r="L82" s="6">
        <v>507759</v>
      </c>
      <c r="M82" s="6">
        <v>1170</v>
      </c>
      <c r="N82">
        <v>370</v>
      </c>
      <c r="O82" s="6">
        <v>1540</v>
      </c>
      <c r="P82" s="6">
        <v>59900</v>
      </c>
      <c r="Q82" s="6">
        <v>0</v>
      </c>
      <c r="R82" s="6">
        <v>105721</v>
      </c>
      <c r="S82" s="6">
        <v>117758</v>
      </c>
      <c r="T82" s="6">
        <v>792678</v>
      </c>
      <c r="U82" s="6">
        <v>415586</v>
      </c>
      <c r="V82" s="6">
        <v>377092</v>
      </c>
    </row>
    <row r="83" spans="1:22" x14ac:dyDescent="0.25">
      <c r="A83">
        <v>2026</v>
      </c>
      <c r="B83" s="1" t="s">
        <v>16</v>
      </c>
      <c r="C83" t="s">
        <v>51</v>
      </c>
      <c r="D83" s="1" t="s">
        <v>485</v>
      </c>
      <c r="E83" t="s">
        <v>160</v>
      </c>
      <c r="F83" s="6">
        <v>69431</v>
      </c>
      <c r="G83" s="6">
        <v>54739</v>
      </c>
      <c r="H83" s="6">
        <v>11725</v>
      </c>
      <c r="I83" s="6">
        <v>43014</v>
      </c>
      <c r="J83" s="6">
        <v>14692</v>
      </c>
      <c r="K83" s="6">
        <v>6427</v>
      </c>
      <c r="L83" s="6">
        <v>64133</v>
      </c>
      <c r="M83">
        <v>94</v>
      </c>
      <c r="N83">
        <v>25</v>
      </c>
      <c r="O83">
        <v>119</v>
      </c>
      <c r="P83" s="6">
        <v>6469</v>
      </c>
      <c r="Q83">
        <v>0</v>
      </c>
      <c r="R83" s="6">
        <v>11146</v>
      </c>
      <c r="S83" s="6">
        <v>12188</v>
      </c>
      <c r="T83" s="6">
        <v>94055</v>
      </c>
      <c r="U83" s="6">
        <v>49577</v>
      </c>
      <c r="V83" s="6">
        <v>44478</v>
      </c>
    </row>
    <row r="84" spans="1:22" x14ac:dyDescent="0.25">
      <c r="A84">
        <v>2026</v>
      </c>
      <c r="B84" s="1" t="s">
        <v>19</v>
      </c>
      <c r="C84" t="s">
        <v>54</v>
      </c>
      <c r="D84" s="1" t="s">
        <v>486</v>
      </c>
      <c r="E84" t="s">
        <v>161</v>
      </c>
      <c r="F84" s="6">
        <v>802765</v>
      </c>
      <c r="G84" s="6">
        <v>622893</v>
      </c>
      <c r="H84" s="6">
        <v>133414</v>
      </c>
      <c r="I84" s="6">
        <v>489479</v>
      </c>
      <c r="J84" s="6">
        <v>179872</v>
      </c>
      <c r="K84" s="6">
        <v>0</v>
      </c>
      <c r="L84" s="6">
        <v>669351</v>
      </c>
      <c r="M84" s="6">
        <v>1167</v>
      </c>
      <c r="N84">
        <v>338</v>
      </c>
      <c r="O84" s="6">
        <v>1505</v>
      </c>
      <c r="P84" s="6">
        <v>80954</v>
      </c>
      <c r="Q84" s="6">
        <v>0</v>
      </c>
      <c r="R84" s="6">
        <v>138242</v>
      </c>
      <c r="S84" s="6">
        <v>154741</v>
      </c>
      <c r="T84" s="6">
        <v>1044793</v>
      </c>
      <c r="U84" s="6">
        <v>571601</v>
      </c>
      <c r="V84" s="6">
        <v>473192</v>
      </c>
    </row>
    <row r="85" spans="1:22" x14ac:dyDescent="0.25">
      <c r="A85">
        <v>2026</v>
      </c>
      <c r="B85" s="1" t="s">
        <v>15</v>
      </c>
      <c r="C85" t="s">
        <v>50</v>
      </c>
      <c r="D85" s="1" t="s">
        <v>487</v>
      </c>
      <c r="E85" t="s">
        <v>162</v>
      </c>
      <c r="F85" s="6">
        <v>335530</v>
      </c>
      <c r="G85" s="6">
        <v>262758</v>
      </c>
      <c r="H85" s="6">
        <v>56278</v>
      </c>
      <c r="I85" s="6">
        <v>206480</v>
      </c>
      <c r="J85" s="6">
        <v>72772</v>
      </c>
      <c r="K85">
        <v>0</v>
      </c>
      <c r="L85" s="6">
        <v>279252</v>
      </c>
      <c r="M85">
        <v>320</v>
      </c>
      <c r="N85">
        <v>89</v>
      </c>
      <c r="O85">
        <v>409</v>
      </c>
      <c r="P85" s="6">
        <v>41184</v>
      </c>
      <c r="Q85" s="6">
        <v>0</v>
      </c>
      <c r="R85" s="6">
        <v>57847</v>
      </c>
      <c r="S85" s="6">
        <v>64483</v>
      </c>
      <c r="T85" s="6">
        <v>443175</v>
      </c>
      <c r="U85" s="6">
        <v>247984</v>
      </c>
      <c r="V85" s="6">
        <v>195191</v>
      </c>
    </row>
    <row r="86" spans="1:22" x14ac:dyDescent="0.25">
      <c r="A86">
        <v>2026</v>
      </c>
      <c r="B86" s="1" t="s">
        <v>18</v>
      </c>
      <c r="C86" t="s">
        <v>53</v>
      </c>
      <c r="D86" s="1" t="s">
        <v>488</v>
      </c>
      <c r="E86" t="s">
        <v>163</v>
      </c>
      <c r="F86" s="6">
        <v>12393575</v>
      </c>
      <c r="G86" s="6">
        <v>10029398</v>
      </c>
      <c r="H86" s="6">
        <v>2148134</v>
      </c>
      <c r="I86" s="6">
        <v>7881264</v>
      </c>
      <c r="J86" s="6">
        <v>2364177</v>
      </c>
      <c r="K86">
        <v>0</v>
      </c>
      <c r="L86" s="6">
        <v>10245441</v>
      </c>
      <c r="M86">
        <v>0</v>
      </c>
      <c r="N86">
        <v>0</v>
      </c>
      <c r="O86">
        <v>0</v>
      </c>
      <c r="P86" s="6">
        <v>1065079</v>
      </c>
      <c r="Q86" s="6">
        <v>0</v>
      </c>
      <c r="R86" s="6">
        <v>2188895</v>
      </c>
      <c r="S86" s="6">
        <v>2405557</v>
      </c>
      <c r="T86" s="6">
        <v>15904972</v>
      </c>
      <c r="U86" s="6">
        <v>8946343</v>
      </c>
      <c r="V86" s="6">
        <v>6958629</v>
      </c>
    </row>
    <row r="87" spans="1:22" x14ac:dyDescent="0.25">
      <c r="A87">
        <v>2026</v>
      </c>
      <c r="B87" s="1" t="s">
        <v>20</v>
      </c>
      <c r="C87" t="s">
        <v>55</v>
      </c>
      <c r="D87" s="1" t="s">
        <v>489</v>
      </c>
      <c r="E87" t="s">
        <v>164</v>
      </c>
      <c r="F87" s="6">
        <v>35914</v>
      </c>
      <c r="G87" s="6">
        <v>28392</v>
      </c>
      <c r="H87" s="6">
        <v>6081</v>
      </c>
      <c r="I87" s="6">
        <v>22311</v>
      </c>
      <c r="J87" s="6">
        <v>7522</v>
      </c>
      <c r="K87" s="6">
        <v>6106</v>
      </c>
      <c r="L87" s="6">
        <v>35939</v>
      </c>
      <c r="M87">
        <v>58</v>
      </c>
      <c r="N87">
        <v>15</v>
      </c>
      <c r="O87">
        <v>73</v>
      </c>
      <c r="P87" s="6">
        <v>3688</v>
      </c>
      <c r="Q87">
        <v>0</v>
      </c>
      <c r="R87" s="6">
        <v>5849</v>
      </c>
      <c r="S87" s="6">
        <v>6467</v>
      </c>
      <c r="T87" s="6">
        <v>52016</v>
      </c>
      <c r="U87" s="6">
        <v>26057</v>
      </c>
      <c r="V87" s="6">
        <v>25959</v>
      </c>
    </row>
    <row r="88" spans="1:22" x14ac:dyDescent="0.25">
      <c r="A88">
        <v>2026</v>
      </c>
      <c r="B88" s="1" t="s">
        <v>15</v>
      </c>
      <c r="C88" t="s">
        <v>50</v>
      </c>
      <c r="D88" s="1" t="s">
        <v>490</v>
      </c>
      <c r="E88" t="s">
        <v>165</v>
      </c>
      <c r="F88" s="6">
        <v>340933</v>
      </c>
      <c r="G88" s="6">
        <v>266989</v>
      </c>
      <c r="H88" s="6">
        <v>57184</v>
      </c>
      <c r="I88" s="6">
        <v>209805</v>
      </c>
      <c r="J88" s="6">
        <v>73944</v>
      </c>
      <c r="K88">
        <v>178</v>
      </c>
      <c r="L88" s="6">
        <v>283927</v>
      </c>
      <c r="M88">
        <v>326</v>
      </c>
      <c r="N88">
        <v>90</v>
      </c>
      <c r="O88">
        <v>416</v>
      </c>
      <c r="P88" s="6">
        <v>42007</v>
      </c>
      <c r="Q88" s="6">
        <v>0</v>
      </c>
      <c r="R88" s="6">
        <v>56411</v>
      </c>
      <c r="S88" s="6">
        <v>62882</v>
      </c>
      <c r="T88" s="6">
        <v>445643</v>
      </c>
      <c r="U88" s="6">
        <v>252137</v>
      </c>
      <c r="V88" s="6">
        <v>193506</v>
      </c>
    </row>
    <row r="89" spans="1:22" x14ac:dyDescent="0.25">
      <c r="A89">
        <v>2026</v>
      </c>
      <c r="B89" s="1" t="s">
        <v>13</v>
      </c>
      <c r="C89" t="s">
        <v>48</v>
      </c>
      <c r="D89" s="1" t="s">
        <v>491</v>
      </c>
      <c r="E89" t="s">
        <v>166</v>
      </c>
      <c r="F89" s="6">
        <v>4271001</v>
      </c>
      <c r="G89" s="6">
        <v>3244512</v>
      </c>
      <c r="H89" s="6">
        <v>694923</v>
      </c>
      <c r="I89" s="6">
        <v>2549589</v>
      </c>
      <c r="J89" s="6">
        <v>1026489</v>
      </c>
      <c r="K89">
        <v>0</v>
      </c>
      <c r="L89" s="6">
        <v>3576078</v>
      </c>
      <c r="M89" s="6">
        <v>8407</v>
      </c>
      <c r="N89" s="6">
        <v>2660</v>
      </c>
      <c r="O89" s="6">
        <v>11067</v>
      </c>
      <c r="P89" s="6">
        <v>423550</v>
      </c>
      <c r="Q89" s="6">
        <v>0</v>
      </c>
      <c r="R89" s="6">
        <v>768959</v>
      </c>
      <c r="S89" s="6">
        <v>856506</v>
      </c>
      <c r="T89" s="6">
        <v>5636160</v>
      </c>
      <c r="U89" s="6">
        <v>2981546</v>
      </c>
      <c r="V89" s="6">
        <v>2654614</v>
      </c>
    </row>
    <row r="90" spans="1:22" x14ac:dyDescent="0.25">
      <c r="A90">
        <v>2026</v>
      </c>
      <c r="B90" s="1" t="s">
        <v>15</v>
      </c>
      <c r="C90" t="s">
        <v>50</v>
      </c>
      <c r="D90" s="1" t="s">
        <v>492</v>
      </c>
      <c r="E90" t="s">
        <v>167</v>
      </c>
      <c r="F90" s="6">
        <v>140913</v>
      </c>
      <c r="G90" s="6">
        <v>110350</v>
      </c>
      <c r="H90" s="6">
        <v>23635</v>
      </c>
      <c r="I90" s="6">
        <v>86715</v>
      </c>
      <c r="J90" s="6">
        <v>30563</v>
      </c>
      <c r="K90" s="6">
        <v>12769</v>
      </c>
      <c r="L90" s="6">
        <v>130047</v>
      </c>
      <c r="M90">
        <v>135</v>
      </c>
      <c r="N90">
        <v>38</v>
      </c>
      <c r="O90">
        <v>173</v>
      </c>
      <c r="P90" s="6">
        <v>17626</v>
      </c>
      <c r="Q90" s="6">
        <v>0</v>
      </c>
      <c r="R90" s="6">
        <v>23570</v>
      </c>
      <c r="S90" s="6">
        <v>26274</v>
      </c>
      <c r="T90" s="6">
        <v>197690</v>
      </c>
      <c r="U90" s="6">
        <v>104477</v>
      </c>
      <c r="V90" s="6">
        <v>93213</v>
      </c>
    </row>
    <row r="91" spans="1:22" x14ac:dyDescent="0.25">
      <c r="A91">
        <v>2026</v>
      </c>
      <c r="B91" s="1" t="s">
        <v>16</v>
      </c>
      <c r="C91" t="s">
        <v>51</v>
      </c>
      <c r="D91" s="1" t="s">
        <v>493</v>
      </c>
      <c r="E91" t="s">
        <v>168</v>
      </c>
      <c r="F91" s="6">
        <v>184790</v>
      </c>
      <c r="G91" s="6">
        <v>145687</v>
      </c>
      <c r="H91" s="6">
        <v>31204</v>
      </c>
      <c r="I91" s="6">
        <v>114483</v>
      </c>
      <c r="J91" s="6">
        <v>39103</v>
      </c>
      <c r="K91" s="6">
        <v>8250</v>
      </c>
      <c r="L91" s="6">
        <v>161836</v>
      </c>
      <c r="M91">
        <v>248</v>
      </c>
      <c r="N91">
        <v>67</v>
      </c>
      <c r="O91">
        <v>315</v>
      </c>
      <c r="P91" s="6">
        <v>17310</v>
      </c>
      <c r="Q91" s="6">
        <v>0</v>
      </c>
      <c r="R91" s="6">
        <v>30845</v>
      </c>
      <c r="S91" s="6">
        <v>33729</v>
      </c>
      <c r="T91" s="6">
        <v>244035</v>
      </c>
      <c r="U91" s="6">
        <v>132041</v>
      </c>
      <c r="V91" s="6">
        <v>111994</v>
      </c>
    </row>
    <row r="92" spans="1:22" x14ac:dyDescent="0.25">
      <c r="A92">
        <v>2026</v>
      </c>
      <c r="B92" s="1" t="s">
        <v>14</v>
      </c>
      <c r="C92" t="s">
        <v>49</v>
      </c>
      <c r="D92" s="1" t="s">
        <v>494</v>
      </c>
      <c r="E92" t="s">
        <v>169</v>
      </c>
      <c r="F92" s="6">
        <v>394323</v>
      </c>
      <c r="G92" s="6">
        <v>303098</v>
      </c>
      <c r="H92" s="6">
        <v>64918</v>
      </c>
      <c r="I92" s="6">
        <v>238180</v>
      </c>
      <c r="J92" s="6">
        <v>91225</v>
      </c>
      <c r="K92">
        <v>499</v>
      </c>
      <c r="L92" s="6">
        <v>329904</v>
      </c>
      <c r="M92">
        <v>0</v>
      </c>
      <c r="N92">
        <v>0</v>
      </c>
      <c r="O92">
        <v>0</v>
      </c>
      <c r="P92" s="6">
        <v>41799</v>
      </c>
      <c r="Q92" s="6">
        <v>0</v>
      </c>
      <c r="R92" s="6">
        <v>64099</v>
      </c>
      <c r="S92" s="6">
        <v>71770</v>
      </c>
      <c r="T92" s="6">
        <v>507572</v>
      </c>
      <c r="U92" s="6">
        <v>279979</v>
      </c>
      <c r="V92" s="6">
        <v>227593</v>
      </c>
    </row>
    <row r="93" spans="1:22" x14ac:dyDescent="0.25">
      <c r="A93">
        <v>2026</v>
      </c>
      <c r="B93" s="1" t="s">
        <v>18</v>
      </c>
      <c r="C93" t="s">
        <v>53</v>
      </c>
      <c r="D93" s="1" t="s">
        <v>495</v>
      </c>
      <c r="E93" t="s">
        <v>170</v>
      </c>
      <c r="F93" s="6">
        <v>211573</v>
      </c>
      <c r="G93" s="6">
        <v>171214</v>
      </c>
      <c r="H93" s="6">
        <v>36672</v>
      </c>
      <c r="I93" s="6">
        <v>134542</v>
      </c>
      <c r="J93" s="6">
        <v>40359</v>
      </c>
      <c r="K93">
        <v>0</v>
      </c>
      <c r="L93" s="6">
        <v>174901</v>
      </c>
      <c r="M93">
        <v>0</v>
      </c>
      <c r="N93">
        <v>0</v>
      </c>
      <c r="O93">
        <v>0</v>
      </c>
      <c r="P93" s="6">
        <v>18182</v>
      </c>
      <c r="Q93" s="6">
        <v>0</v>
      </c>
      <c r="R93" s="6">
        <v>37684</v>
      </c>
      <c r="S93" s="6">
        <v>41414</v>
      </c>
      <c r="T93" s="6">
        <v>272181</v>
      </c>
      <c r="U93" s="6">
        <v>152724</v>
      </c>
      <c r="V93" s="6">
        <v>119457</v>
      </c>
    </row>
    <row r="94" spans="1:22" x14ac:dyDescent="0.25">
      <c r="A94">
        <v>2026</v>
      </c>
      <c r="B94" s="1" t="s">
        <v>15</v>
      </c>
      <c r="C94" t="s">
        <v>50</v>
      </c>
      <c r="D94" s="1" t="s">
        <v>496</v>
      </c>
      <c r="E94" t="s">
        <v>171</v>
      </c>
      <c r="F94" s="6">
        <v>201289</v>
      </c>
      <c r="G94" s="6">
        <v>157632</v>
      </c>
      <c r="H94" s="6">
        <v>33762</v>
      </c>
      <c r="I94" s="6">
        <v>123870</v>
      </c>
      <c r="J94" s="6">
        <v>43657</v>
      </c>
      <c r="K94" s="6">
        <v>13471</v>
      </c>
      <c r="L94" s="6">
        <v>180998</v>
      </c>
      <c r="M94">
        <v>193</v>
      </c>
      <c r="N94">
        <v>54</v>
      </c>
      <c r="O94">
        <v>247</v>
      </c>
      <c r="P94" s="6">
        <v>26401</v>
      </c>
      <c r="Q94" s="6">
        <v>0</v>
      </c>
      <c r="R94" s="6">
        <v>33690</v>
      </c>
      <c r="S94" s="6">
        <v>37554</v>
      </c>
      <c r="T94" s="6">
        <v>278890</v>
      </c>
      <c r="U94" s="6">
        <v>150464</v>
      </c>
      <c r="V94" s="6">
        <v>128426</v>
      </c>
    </row>
    <row r="95" spans="1:22" x14ac:dyDescent="0.25">
      <c r="A95">
        <v>2026</v>
      </c>
      <c r="B95" s="1" t="s">
        <v>15</v>
      </c>
      <c r="C95" t="s">
        <v>50</v>
      </c>
      <c r="D95" s="1" t="s">
        <v>497</v>
      </c>
      <c r="E95" t="s">
        <v>172</v>
      </c>
      <c r="F95" s="6">
        <v>199971</v>
      </c>
      <c r="G95" s="6">
        <v>156600</v>
      </c>
      <c r="H95" s="6">
        <v>33541</v>
      </c>
      <c r="I95" s="6">
        <v>123059</v>
      </c>
      <c r="J95" s="6">
        <v>43371</v>
      </c>
      <c r="K95" s="6">
        <v>15632</v>
      </c>
      <c r="L95" s="6">
        <v>182062</v>
      </c>
      <c r="M95">
        <v>190</v>
      </c>
      <c r="N95">
        <v>53</v>
      </c>
      <c r="O95">
        <v>243</v>
      </c>
      <c r="P95" s="6">
        <v>24960</v>
      </c>
      <c r="Q95" s="6">
        <v>0</v>
      </c>
      <c r="R95" s="6">
        <v>32906</v>
      </c>
      <c r="S95" s="6">
        <v>36681</v>
      </c>
      <c r="T95" s="6">
        <v>276852</v>
      </c>
      <c r="U95" s="6">
        <v>148209</v>
      </c>
      <c r="V95" s="6">
        <v>128643</v>
      </c>
    </row>
    <row r="96" spans="1:22" x14ac:dyDescent="0.25">
      <c r="A96">
        <v>2026</v>
      </c>
      <c r="B96" s="1" t="s">
        <v>20</v>
      </c>
      <c r="C96" t="s">
        <v>55</v>
      </c>
      <c r="D96" s="1" t="s">
        <v>498</v>
      </c>
      <c r="E96" t="s">
        <v>173</v>
      </c>
      <c r="F96" s="6">
        <v>221698</v>
      </c>
      <c r="G96" s="6">
        <v>175266</v>
      </c>
      <c r="H96" s="6">
        <v>37539</v>
      </c>
      <c r="I96" s="6">
        <v>137727</v>
      </c>
      <c r="J96" s="6">
        <v>46432</v>
      </c>
      <c r="K96">
        <v>0</v>
      </c>
      <c r="L96" s="6">
        <v>184159</v>
      </c>
      <c r="M96">
        <v>359</v>
      </c>
      <c r="N96">
        <v>95</v>
      </c>
      <c r="O96">
        <v>454</v>
      </c>
      <c r="P96" s="6">
        <v>22765</v>
      </c>
      <c r="Q96" s="6">
        <v>0</v>
      </c>
      <c r="R96" s="6">
        <v>36069</v>
      </c>
      <c r="S96" s="6">
        <v>39882</v>
      </c>
      <c r="T96" s="6">
        <v>283329</v>
      </c>
      <c r="U96" s="6">
        <v>160850</v>
      </c>
      <c r="V96" s="6">
        <v>122479</v>
      </c>
    </row>
    <row r="97" spans="1:22" x14ac:dyDescent="0.25">
      <c r="A97">
        <v>2026</v>
      </c>
      <c r="B97" s="1" t="s">
        <v>14</v>
      </c>
      <c r="C97" t="s">
        <v>49</v>
      </c>
      <c r="D97" s="1" t="s">
        <v>499</v>
      </c>
      <c r="E97" t="s">
        <v>174</v>
      </c>
      <c r="F97" s="6">
        <v>324190</v>
      </c>
      <c r="G97" s="6">
        <v>249189</v>
      </c>
      <c r="H97" s="6">
        <v>53373</v>
      </c>
      <c r="I97" s="6">
        <v>195816</v>
      </c>
      <c r="J97" s="6">
        <v>75001</v>
      </c>
      <c r="K97" s="6">
        <v>7392</v>
      </c>
      <c r="L97" s="6">
        <v>278209</v>
      </c>
      <c r="M97">
        <v>0</v>
      </c>
      <c r="N97">
        <v>0</v>
      </c>
      <c r="O97">
        <v>0</v>
      </c>
      <c r="P97" s="6">
        <v>35104</v>
      </c>
      <c r="Q97" s="6">
        <v>0</v>
      </c>
      <c r="R97" s="6">
        <v>56584</v>
      </c>
      <c r="S97" s="6">
        <v>63357</v>
      </c>
      <c r="T97" s="6">
        <v>433254</v>
      </c>
      <c r="U97" s="6">
        <v>230920</v>
      </c>
      <c r="V97" s="6">
        <v>202334</v>
      </c>
    </row>
    <row r="98" spans="1:22" x14ac:dyDescent="0.25">
      <c r="A98">
        <v>2026</v>
      </c>
      <c r="B98" s="1" t="s">
        <v>20</v>
      </c>
      <c r="C98" t="s">
        <v>55</v>
      </c>
      <c r="D98" s="1" t="s">
        <v>500</v>
      </c>
      <c r="E98" t="s">
        <v>175</v>
      </c>
      <c r="F98" s="6">
        <v>175897</v>
      </c>
      <c r="G98" s="6">
        <v>139057</v>
      </c>
      <c r="H98" s="6">
        <v>29784</v>
      </c>
      <c r="I98" s="6">
        <v>109273</v>
      </c>
      <c r="J98" s="6">
        <v>36840</v>
      </c>
      <c r="K98" s="6">
        <v>5242</v>
      </c>
      <c r="L98" s="6">
        <v>151355</v>
      </c>
      <c r="M98">
        <v>284</v>
      </c>
      <c r="N98">
        <v>76</v>
      </c>
      <c r="O98">
        <v>360</v>
      </c>
      <c r="P98" s="6">
        <v>18062</v>
      </c>
      <c r="Q98" s="6">
        <v>0</v>
      </c>
      <c r="R98" s="6">
        <v>29830</v>
      </c>
      <c r="S98" s="6">
        <v>32984</v>
      </c>
      <c r="T98" s="6">
        <v>232591</v>
      </c>
      <c r="U98" s="6">
        <v>127619</v>
      </c>
      <c r="V98" s="6">
        <v>104972</v>
      </c>
    </row>
    <row r="99" spans="1:22" x14ac:dyDescent="0.25">
      <c r="A99">
        <v>2026</v>
      </c>
      <c r="B99" s="1" t="s">
        <v>13</v>
      </c>
      <c r="C99" t="s">
        <v>48</v>
      </c>
      <c r="D99" s="1" t="s">
        <v>501</v>
      </c>
      <c r="E99" t="s">
        <v>176</v>
      </c>
      <c r="F99" s="6">
        <v>126533</v>
      </c>
      <c r="G99" s="6">
        <v>96123</v>
      </c>
      <c r="H99" s="6">
        <v>20588</v>
      </c>
      <c r="I99" s="6">
        <v>75535</v>
      </c>
      <c r="J99" s="6">
        <v>30410</v>
      </c>
      <c r="K99" s="6">
        <v>4789</v>
      </c>
      <c r="L99" s="6">
        <v>110734</v>
      </c>
      <c r="M99">
        <v>248</v>
      </c>
      <c r="N99">
        <v>79</v>
      </c>
      <c r="O99">
        <v>327</v>
      </c>
      <c r="P99" s="6">
        <v>12548</v>
      </c>
      <c r="Q99" s="6">
        <v>0</v>
      </c>
      <c r="R99" s="6">
        <v>20687</v>
      </c>
      <c r="S99" s="6">
        <v>23043</v>
      </c>
      <c r="T99" s="6">
        <v>167339</v>
      </c>
      <c r="U99" s="6">
        <v>88331</v>
      </c>
      <c r="V99" s="6">
        <v>79008</v>
      </c>
    </row>
    <row r="100" spans="1:22" x14ac:dyDescent="0.25">
      <c r="A100">
        <v>2026</v>
      </c>
      <c r="B100" s="1" t="s">
        <v>16</v>
      </c>
      <c r="C100" t="s">
        <v>51</v>
      </c>
      <c r="D100" s="1" t="s">
        <v>502</v>
      </c>
      <c r="E100" t="s">
        <v>177</v>
      </c>
      <c r="F100" s="6">
        <v>211466</v>
      </c>
      <c r="G100" s="6">
        <v>166718</v>
      </c>
      <c r="H100" s="6">
        <v>35708</v>
      </c>
      <c r="I100" s="6">
        <v>131010</v>
      </c>
      <c r="J100" s="6">
        <v>44748</v>
      </c>
      <c r="K100" s="6">
        <v>10683</v>
      </c>
      <c r="L100" s="6">
        <v>186441</v>
      </c>
      <c r="M100">
        <v>284</v>
      </c>
      <c r="N100">
        <v>77</v>
      </c>
      <c r="O100">
        <v>361</v>
      </c>
      <c r="P100" s="6">
        <v>20169</v>
      </c>
      <c r="Q100" s="6">
        <v>0</v>
      </c>
      <c r="R100" s="6">
        <v>34538</v>
      </c>
      <c r="S100" s="6">
        <v>37768</v>
      </c>
      <c r="T100" s="6">
        <v>279277</v>
      </c>
      <c r="U100" s="6">
        <v>151463</v>
      </c>
      <c r="V100" s="6">
        <v>127814</v>
      </c>
    </row>
    <row r="101" spans="1:22" x14ac:dyDescent="0.25">
      <c r="A101">
        <v>2026</v>
      </c>
      <c r="B101" s="1" t="s">
        <v>21</v>
      </c>
      <c r="C101" t="s">
        <v>56</v>
      </c>
      <c r="D101" s="1" t="s">
        <v>503</v>
      </c>
      <c r="E101" t="s">
        <v>178</v>
      </c>
      <c r="F101" s="6">
        <v>300859</v>
      </c>
      <c r="G101" s="6">
        <v>239659</v>
      </c>
      <c r="H101" s="6">
        <v>51332</v>
      </c>
      <c r="I101" s="6">
        <v>188327</v>
      </c>
      <c r="J101" s="6">
        <v>61200</v>
      </c>
      <c r="K101" s="6">
        <v>6723</v>
      </c>
      <c r="L101" s="6">
        <v>256250</v>
      </c>
      <c r="M101">
        <v>549</v>
      </c>
      <c r="N101">
        <v>140</v>
      </c>
      <c r="O101">
        <v>689</v>
      </c>
      <c r="P101" s="6">
        <v>30270</v>
      </c>
      <c r="Q101" s="6">
        <v>0</v>
      </c>
      <c r="R101" s="6">
        <v>52423</v>
      </c>
      <c r="S101" s="6">
        <v>57644</v>
      </c>
      <c r="T101" s="6">
        <v>397276</v>
      </c>
      <c r="U101" s="6">
        <v>219146</v>
      </c>
      <c r="V101" s="6">
        <v>178130</v>
      </c>
    </row>
    <row r="102" spans="1:22" x14ac:dyDescent="0.25">
      <c r="A102">
        <v>2026</v>
      </c>
      <c r="B102" s="1" t="s">
        <v>13</v>
      </c>
      <c r="C102" t="s">
        <v>48</v>
      </c>
      <c r="D102" s="1" t="s">
        <v>504</v>
      </c>
      <c r="E102" t="s">
        <v>179</v>
      </c>
      <c r="F102" s="6">
        <v>150345</v>
      </c>
      <c r="G102" s="6">
        <v>114212</v>
      </c>
      <c r="H102" s="6">
        <v>24462</v>
      </c>
      <c r="I102" s="6">
        <v>89750</v>
      </c>
      <c r="J102" s="6">
        <v>36133</v>
      </c>
      <c r="K102">
        <v>0</v>
      </c>
      <c r="L102" s="6">
        <v>125883</v>
      </c>
      <c r="M102">
        <v>295</v>
      </c>
      <c r="N102">
        <v>94</v>
      </c>
      <c r="O102">
        <v>389</v>
      </c>
      <c r="P102" s="6">
        <v>14910</v>
      </c>
      <c r="Q102" s="6">
        <v>0</v>
      </c>
      <c r="R102" s="6">
        <v>26039</v>
      </c>
      <c r="S102" s="6">
        <v>29003</v>
      </c>
      <c r="T102" s="6">
        <v>196224</v>
      </c>
      <c r="U102" s="6">
        <v>104955</v>
      </c>
      <c r="V102" s="6">
        <v>91269</v>
      </c>
    </row>
    <row r="103" spans="1:22" x14ac:dyDescent="0.25">
      <c r="A103">
        <v>2026</v>
      </c>
      <c r="B103" s="1" t="s">
        <v>15</v>
      </c>
      <c r="C103" t="s">
        <v>50</v>
      </c>
      <c r="D103" s="1" t="s">
        <v>505</v>
      </c>
      <c r="E103" t="s">
        <v>180</v>
      </c>
      <c r="F103" s="6">
        <v>216148</v>
      </c>
      <c r="G103" s="6">
        <v>169268</v>
      </c>
      <c r="H103" s="6">
        <v>36254</v>
      </c>
      <c r="I103" s="6">
        <v>133014</v>
      </c>
      <c r="J103" s="6">
        <v>46880</v>
      </c>
      <c r="K103" s="6">
        <v>19353</v>
      </c>
      <c r="L103" s="6">
        <v>199247</v>
      </c>
      <c r="M103">
        <v>207</v>
      </c>
      <c r="N103">
        <v>57</v>
      </c>
      <c r="O103">
        <v>264</v>
      </c>
      <c r="P103" s="6">
        <v>27421</v>
      </c>
      <c r="Q103" s="6">
        <v>0</v>
      </c>
      <c r="R103" s="6">
        <v>35126</v>
      </c>
      <c r="S103" s="6">
        <v>39156</v>
      </c>
      <c r="T103" s="6">
        <v>301214</v>
      </c>
      <c r="U103" s="6">
        <v>160642</v>
      </c>
      <c r="V103" s="6">
        <v>140572</v>
      </c>
    </row>
    <row r="104" spans="1:22" x14ac:dyDescent="0.25">
      <c r="A104">
        <v>2026</v>
      </c>
      <c r="B104" s="1" t="s">
        <v>14</v>
      </c>
      <c r="C104" t="s">
        <v>49</v>
      </c>
      <c r="D104" s="1" t="s">
        <v>506</v>
      </c>
      <c r="E104" t="s">
        <v>181</v>
      </c>
      <c r="F104" s="6">
        <v>251877</v>
      </c>
      <c r="G104" s="6">
        <v>193606</v>
      </c>
      <c r="H104" s="6">
        <v>41467</v>
      </c>
      <c r="I104" s="6">
        <v>152139</v>
      </c>
      <c r="J104" s="6">
        <v>58271</v>
      </c>
      <c r="K104" s="6">
        <v>13389</v>
      </c>
      <c r="L104" s="6">
        <v>223799</v>
      </c>
      <c r="M104">
        <v>0</v>
      </c>
      <c r="N104">
        <v>0</v>
      </c>
      <c r="O104">
        <v>0</v>
      </c>
      <c r="P104" s="6">
        <v>27860</v>
      </c>
      <c r="Q104" s="6">
        <v>0</v>
      </c>
      <c r="R104" s="6">
        <v>44954</v>
      </c>
      <c r="S104" s="6">
        <v>50334</v>
      </c>
      <c r="T104" s="6">
        <v>346947</v>
      </c>
      <c r="U104" s="6">
        <v>179999</v>
      </c>
      <c r="V104" s="6">
        <v>166948</v>
      </c>
    </row>
    <row r="105" spans="1:22" x14ac:dyDescent="0.25">
      <c r="A105">
        <v>2026</v>
      </c>
      <c r="B105" s="1" t="s">
        <v>17</v>
      </c>
      <c r="C105" t="s">
        <v>52</v>
      </c>
      <c r="D105" s="1" t="s">
        <v>507</v>
      </c>
      <c r="E105" t="s">
        <v>182</v>
      </c>
      <c r="F105" s="6">
        <v>171639</v>
      </c>
      <c r="G105" s="6">
        <v>136065</v>
      </c>
      <c r="H105" s="6">
        <v>29143</v>
      </c>
      <c r="I105" s="6">
        <v>106922</v>
      </c>
      <c r="J105" s="6">
        <v>35574</v>
      </c>
      <c r="K105" s="6">
        <v>3547</v>
      </c>
      <c r="L105" s="6">
        <v>146043</v>
      </c>
      <c r="M105">
        <v>152</v>
      </c>
      <c r="N105">
        <v>39</v>
      </c>
      <c r="O105">
        <v>191</v>
      </c>
      <c r="P105" s="6">
        <v>16308</v>
      </c>
      <c r="Q105" s="6">
        <v>0</v>
      </c>
      <c r="R105" s="6">
        <v>29241</v>
      </c>
      <c r="S105" s="6">
        <v>32157</v>
      </c>
      <c r="T105" s="6">
        <v>223940</v>
      </c>
      <c r="U105" s="6">
        <v>123382</v>
      </c>
      <c r="V105" s="6">
        <v>100558</v>
      </c>
    </row>
    <row r="106" spans="1:22" x14ac:dyDescent="0.25">
      <c r="A106">
        <v>2026</v>
      </c>
      <c r="B106" s="1" t="s">
        <v>20</v>
      </c>
      <c r="C106" t="s">
        <v>55</v>
      </c>
      <c r="D106" s="1" t="s">
        <v>508</v>
      </c>
      <c r="E106" t="s">
        <v>183</v>
      </c>
      <c r="F106" s="6">
        <v>64381</v>
      </c>
      <c r="G106" s="6">
        <v>50897</v>
      </c>
      <c r="H106" s="6">
        <v>10902</v>
      </c>
      <c r="I106" s="6">
        <v>39995</v>
      </c>
      <c r="J106" s="6">
        <v>13484</v>
      </c>
      <c r="K106" s="6">
        <v>8764</v>
      </c>
      <c r="L106" s="6">
        <v>62243</v>
      </c>
      <c r="M106">
        <v>105</v>
      </c>
      <c r="N106">
        <v>28</v>
      </c>
      <c r="O106">
        <v>133</v>
      </c>
      <c r="P106" s="6">
        <v>6790</v>
      </c>
      <c r="Q106">
        <v>0</v>
      </c>
      <c r="R106" s="6">
        <v>10918</v>
      </c>
      <c r="S106" s="6">
        <v>12072</v>
      </c>
      <c r="T106" s="6">
        <v>92156</v>
      </c>
      <c r="U106" s="6">
        <v>46890</v>
      </c>
      <c r="V106" s="6">
        <v>45266</v>
      </c>
    </row>
    <row r="107" spans="1:22" x14ac:dyDescent="0.25">
      <c r="A107">
        <v>2026</v>
      </c>
      <c r="B107" s="1" t="s">
        <v>14</v>
      </c>
      <c r="C107" t="s">
        <v>49</v>
      </c>
      <c r="D107" s="1" t="s">
        <v>509</v>
      </c>
      <c r="E107" t="s">
        <v>184</v>
      </c>
      <c r="F107" s="6">
        <v>462295</v>
      </c>
      <c r="G107" s="6">
        <v>355344</v>
      </c>
      <c r="H107" s="6">
        <v>76109</v>
      </c>
      <c r="I107" s="6">
        <v>279235</v>
      </c>
      <c r="J107" s="6">
        <v>106951</v>
      </c>
      <c r="K107" s="6">
        <v>4719</v>
      </c>
      <c r="L107" s="6">
        <v>390905</v>
      </c>
      <c r="M107">
        <v>0</v>
      </c>
      <c r="N107">
        <v>0</v>
      </c>
      <c r="O107">
        <v>0</v>
      </c>
      <c r="P107" s="6">
        <v>48911</v>
      </c>
      <c r="Q107" s="6">
        <v>0</v>
      </c>
      <c r="R107" s="6">
        <v>75010</v>
      </c>
      <c r="S107" s="6">
        <v>83988</v>
      </c>
      <c r="T107" s="6">
        <v>598814</v>
      </c>
      <c r="U107" s="6">
        <v>328146</v>
      </c>
      <c r="V107" s="6">
        <v>270668</v>
      </c>
    </row>
    <row r="108" spans="1:22" x14ac:dyDescent="0.25">
      <c r="A108">
        <v>2026</v>
      </c>
      <c r="B108" s="1" t="s">
        <v>18</v>
      </c>
      <c r="C108" t="s">
        <v>53</v>
      </c>
      <c r="D108" s="1" t="s">
        <v>510</v>
      </c>
      <c r="E108" t="s">
        <v>185</v>
      </c>
      <c r="F108" s="6">
        <v>163784</v>
      </c>
      <c r="G108" s="6">
        <v>132541</v>
      </c>
      <c r="H108" s="6">
        <v>28388</v>
      </c>
      <c r="I108" s="6">
        <v>104153</v>
      </c>
      <c r="J108" s="6">
        <v>31243</v>
      </c>
      <c r="K108">
        <v>0</v>
      </c>
      <c r="L108" s="6">
        <v>135396</v>
      </c>
      <c r="M108">
        <v>0</v>
      </c>
      <c r="N108">
        <v>0</v>
      </c>
      <c r="O108">
        <v>0</v>
      </c>
      <c r="P108" s="6">
        <v>14075</v>
      </c>
      <c r="Q108" s="6">
        <v>0</v>
      </c>
      <c r="R108" s="6">
        <v>27501</v>
      </c>
      <c r="S108" s="6">
        <v>30223</v>
      </c>
      <c r="T108" s="6">
        <v>207195</v>
      </c>
      <c r="U108" s="6">
        <v>118228</v>
      </c>
      <c r="V108" s="6">
        <v>88967</v>
      </c>
    </row>
    <row r="109" spans="1:22" x14ac:dyDescent="0.25">
      <c r="A109">
        <v>2026</v>
      </c>
      <c r="B109" s="1" t="s">
        <v>21</v>
      </c>
      <c r="C109" t="s">
        <v>56</v>
      </c>
      <c r="D109" s="1" t="s">
        <v>511</v>
      </c>
      <c r="E109" t="s">
        <v>186</v>
      </c>
      <c r="F109" s="6">
        <v>591739</v>
      </c>
      <c r="G109" s="6">
        <v>471369</v>
      </c>
      <c r="H109" s="6">
        <v>100959</v>
      </c>
      <c r="I109" s="6">
        <v>370410</v>
      </c>
      <c r="J109" s="6">
        <v>120370</v>
      </c>
      <c r="K109" s="6">
        <v>14616</v>
      </c>
      <c r="L109" s="6">
        <v>505396</v>
      </c>
      <c r="M109" s="6">
        <v>1076</v>
      </c>
      <c r="N109">
        <v>275</v>
      </c>
      <c r="O109" s="6">
        <v>1351</v>
      </c>
      <c r="P109" s="6">
        <v>60397</v>
      </c>
      <c r="Q109" s="6">
        <v>0</v>
      </c>
      <c r="R109" s="6">
        <v>107704</v>
      </c>
      <c r="S109" s="6">
        <v>118431</v>
      </c>
      <c r="T109" s="6">
        <v>793279</v>
      </c>
      <c r="U109" s="6">
        <v>431884</v>
      </c>
      <c r="V109" s="6">
        <v>361395</v>
      </c>
    </row>
    <row r="110" spans="1:22" x14ac:dyDescent="0.25">
      <c r="A110">
        <v>2026</v>
      </c>
      <c r="B110" s="1" t="s">
        <v>15</v>
      </c>
      <c r="C110" t="s">
        <v>50</v>
      </c>
      <c r="D110" s="1" t="s">
        <v>512</v>
      </c>
      <c r="E110" t="s">
        <v>187</v>
      </c>
      <c r="F110" s="6">
        <v>418480</v>
      </c>
      <c r="G110" s="6">
        <v>327717</v>
      </c>
      <c r="H110" s="6">
        <v>70192</v>
      </c>
      <c r="I110" s="6">
        <v>257525</v>
      </c>
      <c r="J110" s="6">
        <v>90763</v>
      </c>
      <c r="K110" s="6">
        <v>4849</v>
      </c>
      <c r="L110" s="6">
        <v>353137</v>
      </c>
      <c r="M110">
        <v>400</v>
      </c>
      <c r="N110">
        <v>111</v>
      </c>
      <c r="O110">
        <v>511</v>
      </c>
      <c r="P110" s="6">
        <v>52132</v>
      </c>
      <c r="Q110" s="6">
        <v>0</v>
      </c>
      <c r="R110" s="6">
        <v>68555</v>
      </c>
      <c r="S110" s="6">
        <v>76419</v>
      </c>
      <c r="T110" s="6">
        <v>550754</v>
      </c>
      <c r="U110" s="6">
        <v>310057</v>
      </c>
      <c r="V110" s="6">
        <v>240697</v>
      </c>
    </row>
    <row r="111" spans="1:22" x14ac:dyDescent="0.25">
      <c r="A111">
        <v>2026</v>
      </c>
      <c r="B111" s="1" t="s">
        <v>14</v>
      </c>
      <c r="C111" t="s">
        <v>49</v>
      </c>
      <c r="D111" s="1" t="s">
        <v>513</v>
      </c>
      <c r="E111" t="s">
        <v>188</v>
      </c>
      <c r="F111" s="6">
        <v>1402732</v>
      </c>
      <c r="G111" s="6">
        <v>1078213</v>
      </c>
      <c r="H111" s="6">
        <v>230936</v>
      </c>
      <c r="I111" s="6">
        <v>847277</v>
      </c>
      <c r="J111" s="6">
        <v>324519</v>
      </c>
      <c r="K111" s="6">
        <v>31911</v>
      </c>
      <c r="L111" s="6">
        <v>1203707</v>
      </c>
      <c r="M111">
        <v>0</v>
      </c>
      <c r="N111">
        <v>0</v>
      </c>
      <c r="O111">
        <v>0</v>
      </c>
      <c r="P111" s="6">
        <v>151883</v>
      </c>
      <c r="Q111" s="6">
        <v>0</v>
      </c>
      <c r="R111" s="6">
        <v>267110</v>
      </c>
      <c r="S111" s="6">
        <v>299078</v>
      </c>
      <c r="T111" s="6">
        <v>1921778</v>
      </c>
      <c r="U111" s="6">
        <v>999160</v>
      </c>
      <c r="V111" s="6">
        <v>922618</v>
      </c>
    </row>
    <row r="112" spans="1:22" x14ac:dyDescent="0.25">
      <c r="A112">
        <v>2026</v>
      </c>
      <c r="B112" s="1" t="s">
        <v>21</v>
      </c>
      <c r="C112" t="s">
        <v>56</v>
      </c>
      <c r="D112" s="1" t="s">
        <v>514</v>
      </c>
      <c r="E112" t="s">
        <v>189</v>
      </c>
      <c r="F112" s="6">
        <v>839060</v>
      </c>
      <c r="G112" s="6">
        <v>668381</v>
      </c>
      <c r="H112" s="6">
        <v>143156</v>
      </c>
      <c r="I112" s="6">
        <v>525225</v>
      </c>
      <c r="J112" s="6">
        <v>170679</v>
      </c>
      <c r="K112">
        <v>0</v>
      </c>
      <c r="L112" s="6">
        <v>695904</v>
      </c>
      <c r="M112" s="6">
        <v>1526</v>
      </c>
      <c r="N112">
        <v>390</v>
      </c>
      <c r="O112" s="6">
        <v>1916</v>
      </c>
      <c r="P112" s="6">
        <v>84419</v>
      </c>
      <c r="Q112" s="6">
        <v>0</v>
      </c>
      <c r="R112" s="6">
        <v>154410</v>
      </c>
      <c r="S112" s="6">
        <v>169789</v>
      </c>
      <c r="T112" s="6">
        <v>1106438</v>
      </c>
      <c r="U112" s="6">
        <v>611170</v>
      </c>
      <c r="V112" s="6">
        <v>495268</v>
      </c>
    </row>
    <row r="113" spans="1:22" x14ac:dyDescent="0.25">
      <c r="A113">
        <v>2026</v>
      </c>
      <c r="B113" s="1" t="s">
        <v>20</v>
      </c>
      <c r="C113" t="s">
        <v>55</v>
      </c>
      <c r="D113" s="1" t="s">
        <v>515</v>
      </c>
      <c r="E113" t="s">
        <v>190</v>
      </c>
      <c r="F113" s="6">
        <v>177070</v>
      </c>
      <c r="G113" s="6">
        <v>139984</v>
      </c>
      <c r="H113" s="6">
        <v>29982</v>
      </c>
      <c r="I113" s="6">
        <v>110002</v>
      </c>
      <c r="J113" s="6">
        <v>37086</v>
      </c>
      <c r="K113">
        <v>0</v>
      </c>
      <c r="L113" s="6">
        <v>147088</v>
      </c>
      <c r="M113">
        <v>287</v>
      </c>
      <c r="N113">
        <v>76</v>
      </c>
      <c r="O113">
        <v>363</v>
      </c>
      <c r="P113" s="6">
        <v>18183</v>
      </c>
      <c r="Q113" s="6">
        <v>0</v>
      </c>
      <c r="R113" s="6">
        <v>28921</v>
      </c>
      <c r="S113" s="6">
        <v>31978</v>
      </c>
      <c r="T113" s="6">
        <v>226533</v>
      </c>
      <c r="U113" s="6">
        <v>128472</v>
      </c>
      <c r="V113" s="6">
        <v>98061</v>
      </c>
    </row>
    <row r="114" spans="1:22" x14ac:dyDescent="0.25">
      <c r="A114">
        <v>2026</v>
      </c>
      <c r="B114" s="1" t="s">
        <v>19</v>
      </c>
      <c r="C114" t="s">
        <v>54</v>
      </c>
      <c r="D114" s="1" t="s">
        <v>516</v>
      </c>
      <c r="E114" t="s">
        <v>191</v>
      </c>
      <c r="F114" s="6">
        <v>183057</v>
      </c>
      <c r="G114" s="6">
        <v>142041</v>
      </c>
      <c r="H114" s="6">
        <v>30423</v>
      </c>
      <c r="I114" s="6">
        <v>111618</v>
      </c>
      <c r="J114" s="6">
        <v>41016</v>
      </c>
      <c r="K114">
        <v>0</v>
      </c>
      <c r="L114" s="6">
        <v>152634</v>
      </c>
      <c r="M114">
        <v>265</v>
      </c>
      <c r="N114">
        <v>76</v>
      </c>
      <c r="O114">
        <v>341</v>
      </c>
      <c r="P114" s="6">
        <v>18460</v>
      </c>
      <c r="Q114" s="6">
        <v>0</v>
      </c>
      <c r="R114" s="6">
        <v>30677</v>
      </c>
      <c r="S114" s="6">
        <v>34338</v>
      </c>
      <c r="T114" s="6">
        <v>236450</v>
      </c>
      <c r="U114" s="6">
        <v>130343</v>
      </c>
      <c r="V114" s="6">
        <v>106107</v>
      </c>
    </row>
    <row r="115" spans="1:22" x14ac:dyDescent="0.25">
      <c r="A115">
        <v>2026</v>
      </c>
      <c r="B115" s="1" t="s">
        <v>15</v>
      </c>
      <c r="C115" t="s">
        <v>50</v>
      </c>
      <c r="D115" s="1" t="s">
        <v>517</v>
      </c>
      <c r="E115" t="s">
        <v>192</v>
      </c>
      <c r="F115" s="6">
        <v>323861</v>
      </c>
      <c r="G115" s="6">
        <v>253619</v>
      </c>
      <c r="H115" s="6">
        <v>54322</v>
      </c>
      <c r="I115" s="6">
        <v>199297</v>
      </c>
      <c r="J115" s="6">
        <v>70242</v>
      </c>
      <c r="K115" s="6">
        <v>12289</v>
      </c>
      <c r="L115" s="6">
        <v>281828</v>
      </c>
      <c r="M115">
        <v>309</v>
      </c>
      <c r="N115">
        <v>86</v>
      </c>
      <c r="O115">
        <v>395</v>
      </c>
      <c r="P115" s="6">
        <v>39808</v>
      </c>
      <c r="Q115" s="6">
        <v>0</v>
      </c>
      <c r="R115" s="6">
        <v>56802</v>
      </c>
      <c r="S115" s="6">
        <v>63319</v>
      </c>
      <c r="T115" s="6">
        <v>442152</v>
      </c>
      <c r="U115" s="6">
        <v>239414</v>
      </c>
      <c r="V115" s="6">
        <v>202738</v>
      </c>
    </row>
    <row r="116" spans="1:22" x14ac:dyDescent="0.25">
      <c r="A116">
        <v>2026</v>
      </c>
      <c r="B116" s="1" t="s">
        <v>19</v>
      </c>
      <c r="C116" t="s">
        <v>54</v>
      </c>
      <c r="D116" s="1" t="s">
        <v>518</v>
      </c>
      <c r="E116" t="s">
        <v>193</v>
      </c>
      <c r="F116" s="6">
        <v>168431</v>
      </c>
      <c r="G116" s="6">
        <v>130692</v>
      </c>
      <c r="H116" s="6">
        <v>27992</v>
      </c>
      <c r="I116" s="6">
        <v>102700</v>
      </c>
      <c r="J116" s="6">
        <v>37739</v>
      </c>
      <c r="K116" s="6">
        <v>9006</v>
      </c>
      <c r="L116" s="6">
        <v>149445</v>
      </c>
      <c r="M116">
        <v>246</v>
      </c>
      <c r="N116">
        <v>71</v>
      </c>
      <c r="O116">
        <v>317</v>
      </c>
      <c r="P116" s="6">
        <v>17888</v>
      </c>
      <c r="Q116" s="6">
        <v>0</v>
      </c>
      <c r="R116" s="6">
        <v>27870</v>
      </c>
      <c r="S116" s="6">
        <v>31197</v>
      </c>
      <c r="T116" s="6">
        <v>226717</v>
      </c>
      <c r="U116" s="6">
        <v>120833</v>
      </c>
      <c r="V116" s="6">
        <v>105884</v>
      </c>
    </row>
    <row r="117" spans="1:22" x14ac:dyDescent="0.25">
      <c r="A117">
        <v>2026</v>
      </c>
      <c r="B117" s="1" t="s">
        <v>18</v>
      </c>
      <c r="C117" t="s">
        <v>53</v>
      </c>
      <c r="D117" s="1" t="s">
        <v>519</v>
      </c>
      <c r="E117" t="s">
        <v>194</v>
      </c>
      <c r="F117" s="6">
        <v>582858</v>
      </c>
      <c r="G117" s="6">
        <v>471673</v>
      </c>
      <c r="H117" s="6">
        <v>101024</v>
      </c>
      <c r="I117" s="6">
        <v>370649</v>
      </c>
      <c r="J117" s="6">
        <v>111185</v>
      </c>
      <c r="K117">
        <v>0</v>
      </c>
      <c r="L117" s="6">
        <v>481834</v>
      </c>
      <c r="M117">
        <v>0</v>
      </c>
      <c r="N117">
        <v>0</v>
      </c>
      <c r="O117">
        <v>0</v>
      </c>
      <c r="P117" s="6">
        <v>50090</v>
      </c>
      <c r="Q117" s="6">
        <v>0</v>
      </c>
      <c r="R117" s="6">
        <v>105852</v>
      </c>
      <c r="S117" s="6">
        <v>116329</v>
      </c>
      <c r="T117" s="6">
        <v>754105</v>
      </c>
      <c r="U117" s="6">
        <v>420739</v>
      </c>
      <c r="V117" s="6">
        <v>333366</v>
      </c>
    </row>
    <row r="118" spans="1:22" x14ac:dyDescent="0.25">
      <c r="A118">
        <v>2026</v>
      </c>
      <c r="B118" s="1" t="s">
        <v>14</v>
      </c>
      <c r="C118" t="s">
        <v>49</v>
      </c>
      <c r="D118" s="1" t="s">
        <v>520</v>
      </c>
      <c r="E118" t="s">
        <v>195</v>
      </c>
      <c r="F118" s="6">
        <v>65753</v>
      </c>
      <c r="G118" s="6">
        <v>50541</v>
      </c>
      <c r="H118" s="6">
        <v>10825</v>
      </c>
      <c r="I118" s="6">
        <v>39716</v>
      </c>
      <c r="J118" s="6">
        <v>15212</v>
      </c>
      <c r="K118" s="6">
        <v>7575</v>
      </c>
      <c r="L118" s="6">
        <v>62503</v>
      </c>
      <c r="M118">
        <v>0</v>
      </c>
      <c r="N118">
        <v>0</v>
      </c>
      <c r="O118">
        <v>0</v>
      </c>
      <c r="P118" s="6">
        <v>7022</v>
      </c>
      <c r="Q118">
        <v>0</v>
      </c>
      <c r="R118" s="6">
        <v>10520</v>
      </c>
      <c r="S118" s="6">
        <v>11779</v>
      </c>
      <c r="T118" s="6">
        <v>91824</v>
      </c>
      <c r="U118" s="6">
        <v>46738</v>
      </c>
      <c r="V118" s="6">
        <v>45086</v>
      </c>
    </row>
    <row r="119" spans="1:22" x14ac:dyDescent="0.25">
      <c r="A119">
        <v>2026</v>
      </c>
      <c r="B119" s="1" t="s">
        <v>15</v>
      </c>
      <c r="C119" t="s">
        <v>50</v>
      </c>
      <c r="D119" s="1" t="s">
        <v>521</v>
      </c>
      <c r="E119" t="s">
        <v>196</v>
      </c>
      <c r="F119" s="6">
        <v>247497</v>
      </c>
      <c r="G119" s="6">
        <v>193818</v>
      </c>
      <c r="H119" s="6">
        <v>41513</v>
      </c>
      <c r="I119" s="6">
        <v>152305</v>
      </c>
      <c r="J119" s="6">
        <v>53679</v>
      </c>
      <c r="K119">
        <v>0</v>
      </c>
      <c r="L119" s="6">
        <v>205984</v>
      </c>
      <c r="M119">
        <v>237</v>
      </c>
      <c r="N119">
        <v>66</v>
      </c>
      <c r="O119">
        <v>303</v>
      </c>
      <c r="P119" s="6">
        <v>30379</v>
      </c>
      <c r="Q119" s="6">
        <v>0</v>
      </c>
      <c r="R119" s="6">
        <v>40480</v>
      </c>
      <c r="S119" s="6">
        <v>45124</v>
      </c>
      <c r="T119" s="6">
        <v>322270</v>
      </c>
      <c r="U119" s="6">
        <v>182922</v>
      </c>
      <c r="V119" s="6">
        <v>139348</v>
      </c>
    </row>
    <row r="120" spans="1:22" x14ac:dyDescent="0.25">
      <c r="A120">
        <v>2026</v>
      </c>
      <c r="B120" s="1" t="s">
        <v>20</v>
      </c>
      <c r="C120" t="s">
        <v>55</v>
      </c>
      <c r="D120" s="1" t="s">
        <v>522</v>
      </c>
      <c r="E120" t="s">
        <v>197</v>
      </c>
      <c r="F120" s="6">
        <v>730390</v>
      </c>
      <c r="G120" s="6">
        <v>577417</v>
      </c>
      <c r="H120" s="6">
        <v>123673</v>
      </c>
      <c r="I120" s="6">
        <v>453744</v>
      </c>
      <c r="J120" s="6">
        <v>152973</v>
      </c>
      <c r="K120" s="6">
        <v>4838</v>
      </c>
      <c r="L120" s="6">
        <v>611555</v>
      </c>
      <c r="M120" s="6">
        <v>1179</v>
      </c>
      <c r="N120">
        <v>312</v>
      </c>
      <c r="O120" s="6">
        <v>1491</v>
      </c>
      <c r="P120" s="6">
        <v>75503</v>
      </c>
      <c r="Q120" s="6">
        <v>0</v>
      </c>
      <c r="R120" s="6">
        <v>123091</v>
      </c>
      <c r="S120" s="6">
        <v>136103</v>
      </c>
      <c r="T120" s="6">
        <v>947743</v>
      </c>
      <c r="U120" s="6">
        <v>530425</v>
      </c>
      <c r="V120" s="6">
        <v>417318</v>
      </c>
    </row>
    <row r="121" spans="1:22" x14ac:dyDescent="0.25">
      <c r="A121">
        <v>2026</v>
      </c>
      <c r="B121" s="1" t="s">
        <v>18</v>
      </c>
      <c r="C121" t="s">
        <v>53</v>
      </c>
      <c r="D121" s="1" t="s">
        <v>523</v>
      </c>
      <c r="E121" t="s">
        <v>198</v>
      </c>
      <c r="F121" s="6">
        <v>118706</v>
      </c>
      <c r="G121" s="6">
        <v>96062</v>
      </c>
      <c r="H121" s="6">
        <v>20575</v>
      </c>
      <c r="I121" s="6">
        <v>75487</v>
      </c>
      <c r="J121" s="6">
        <v>22644</v>
      </c>
      <c r="K121">
        <v>0</v>
      </c>
      <c r="L121" s="6">
        <v>98131</v>
      </c>
      <c r="M121">
        <v>0</v>
      </c>
      <c r="N121">
        <v>0</v>
      </c>
      <c r="O121">
        <v>0</v>
      </c>
      <c r="P121" s="6">
        <v>10201</v>
      </c>
      <c r="Q121" s="6">
        <v>0</v>
      </c>
      <c r="R121" s="6">
        <v>21469</v>
      </c>
      <c r="S121" s="6">
        <v>23594</v>
      </c>
      <c r="T121" s="6">
        <v>153395</v>
      </c>
      <c r="U121" s="6">
        <v>85688</v>
      </c>
      <c r="V121" s="6">
        <v>67707</v>
      </c>
    </row>
    <row r="122" spans="1:22" x14ac:dyDescent="0.25">
      <c r="A122">
        <v>2026</v>
      </c>
      <c r="B122" s="1" t="s">
        <v>15</v>
      </c>
      <c r="C122" t="s">
        <v>50</v>
      </c>
      <c r="D122" s="1" t="s">
        <v>524</v>
      </c>
      <c r="E122" t="s">
        <v>199</v>
      </c>
      <c r="F122" s="6">
        <v>100773</v>
      </c>
      <c r="G122" s="6">
        <v>78917</v>
      </c>
      <c r="H122" s="6">
        <v>16903</v>
      </c>
      <c r="I122" s="6">
        <v>62014</v>
      </c>
      <c r="J122" s="6">
        <v>21856</v>
      </c>
      <c r="K122" s="6">
        <v>4602</v>
      </c>
      <c r="L122" s="6">
        <v>88472</v>
      </c>
      <c r="M122">
        <v>97</v>
      </c>
      <c r="N122">
        <v>26</v>
      </c>
      <c r="O122">
        <v>123</v>
      </c>
      <c r="P122" s="6">
        <v>12369</v>
      </c>
      <c r="Q122" s="6">
        <v>0</v>
      </c>
      <c r="R122" s="6">
        <v>16388</v>
      </c>
      <c r="S122" s="6">
        <v>18268</v>
      </c>
      <c r="T122" s="6">
        <v>135620</v>
      </c>
      <c r="U122" s="6">
        <v>74479</v>
      </c>
      <c r="V122" s="6">
        <v>61141</v>
      </c>
    </row>
    <row r="123" spans="1:22" x14ac:dyDescent="0.25">
      <c r="A123">
        <v>2026</v>
      </c>
      <c r="B123" s="1" t="s">
        <v>14</v>
      </c>
      <c r="C123" t="s">
        <v>49</v>
      </c>
      <c r="D123" s="1" t="s">
        <v>525</v>
      </c>
      <c r="E123" t="s">
        <v>200</v>
      </c>
      <c r="F123" s="6">
        <v>148472</v>
      </c>
      <c r="G123" s="6">
        <v>114123</v>
      </c>
      <c r="H123" s="6">
        <v>24444</v>
      </c>
      <c r="I123" s="6">
        <v>89679</v>
      </c>
      <c r="J123" s="6">
        <v>34349</v>
      </c>
      <c r="K123">
        <v>0</v>
      </c>
      <c r="L123" s="6">
        <v>124028</v>
      </c>
      <c r="M123">
        <v>0</v>
      </c>
      <c r="N123">
        <v>0</v>
      </c>
      <c r="O123">
        <v>0</v>
      </c>
      <c r="P123" s="6">
        <v>15708</v>
      </c>
      <c r="Q123" s="6">
        <v>0</v>
      </c>
      <c r="R123" s="6">
        <v>24960</v>
      </c>
      <c r="S123" s="6">
        <v>27947</v>
      </c>
      <c r="T123" s="6">
        <v>192643</v>
      </c>
      <c r="U123" s="6">
        <v>105387</v>
      </c>
      <c r="V123" s="6">
        <v>87256</v>
      </c>
    </row>
    <row r="124" spans="1:22" x14ac:dyDescent="0.25">
      <c r="A124">
        <v>2026</v>
      </c>
      <c r="B124" s="1" t="s">
        <v>14</v>
      </c>
      <c r="C124" t="s">
        <v>49</v>
      </c>
      <c r="D124" s="1" t="s">
        <v>526</v>
      </c>
      <c r="E124" t="s">
        <v>201</v>
      </c>
      <c r="F124" s="6">
        <v>489326</v>
      </c>
      <c r="G124" s="6">
        <v>376122</v>
      </c>
      <c r="H124" s="6">
        <v>80560</v>
      </c>
      <c r="I124" s="6">
        <v>295562</v>
      </c>
      <c r="J124" s="6">
        <v>113204</v>
      </c>
      <c r="K124">
        <v>0</v>
      </c>
      <c r="L124" s="6">
        <v>408766</v>
      </c>
      <c r="M124">
        <v>0</v>
      </c>
      <c r="N124">
        <v>0</v>
      </c>
      <c r="O124">
        <v>0</v>
      </c>
      <c r="P124" s="6">
        <v>51771</v>
      </c>
      <c r="Q124" s="6">
        <v>0</v>
      </c>
      <c r="R124" s="6">
        <v>78800</v>
      </c>
      <c r="S124" s="6">
        <v>88231</v>
      </c>
      <c r="T124" s="6">
        <v>627568</v>
      </c>
      <c r="U124" s="6">
        <v>347333</v>
      </c>
      <c r="V124" s="6">
        <v>280235</v>
      </c>
    </row>
    <row r="125" spans="1:22" x14ac:dyDescent="0.25">
      <c r="A125">
        <v>2026</v>
      </c>
      <c r="B125" s="1" t="s">
        <v>15</v>
      </c>
      <c r="C125" t="s">
        <v>50</v>
      </c>
      <c r="D125" s="1" t="s">
        <v>527</v>
      </c>
      <c r="E125" t="s">
        <v>202</v>
      </c>
      <c r="F125" s="6">
        <v>607568</v>
      </c>
      <c r="G125" s="6">
        <v>475794</v>
      </c>
      <c r="H125" s="6">
        <v>101907</v>
      </c>
      <c r="I125" s="6">
        <v>373887</v>
      </c>
      <c r="J125" s="6">
        <v>131774</v>
      </c>
      <c r="K125">
        <v>0</v>
      </c>
      <c r="L125" s="6">
        <v>505661</v>
      </c>
      <c r="M125">
        <v>582</v>
      </c>
      <c r="N125">
        <v>162</v>
      </c>
      <c r="O125">
        <v>744</v>
      </c>
      <c r="P125" s="6">
        <v>74575</v>
      </c>
      <c r="Q125" s="6">
        <v>0</v>
      </c>
      <c r="R125" s="6">
        <v>102571</v>
      </c>
      <c r="S125" s="6">
        <v>114337</v>
      </c>
      <c r="T125" s="6">
        <v>797888</v>
      </c>
      <c r="U125" s="6">
        <v>449044</v>
      </c>
      <c r="V125" s="6">
        <v>348844</v>
      </c>
    </row>
    <row r="126" spans="1:22" x14ac:dyDescent="0.25">
      <c r="A126">
        <v>2026</v>
      </c>
      <c r="B126" s="1" t="s">
        <v>20</v>
      </c>
      <c r="C126" t="s">
        <v>55</v>
      </c>
      <c r="D126" s="1" t="s">
        <v>528</v>
      </c>
      <c r="E126" t="s">
        <v>203</v>
      </c>
      <c r="F126" s="6">
        <v>184468</v>
      </c>
      <c r="G126" s="6">
        <v>145833</v>
      </c>
      <c r="H126" s="6">
        <v>31235</v>
      </c>
      <c r="I126" s="6">
        <v>114598</v>
      </c>
      <c r="J126" s="6">
        <v>38635</v>
      </c>
      <c r="K126" s="6">
        <v>6165</v>
      </c>
      <c r="L126" s="6">
        <v>159398</v>
      </c>
      <c r="M126">
        <v>298</v>
      </c>
      <c r="N126">
        <v>79</v>
      </c>
      <c r="O126">
        <v>377</v>
      </c>
      <c r="P126" s="6">
        <v>19577</v>
      </c>
      <c r="Q126" s="6">
        <v>0</v>
      </c>
      <c r="R126" s="6">
        <v>28791</v>
      </c>
      <c r="S126" s="6">
        <v>31834</v>
      </c>
      <c r="T126" s="6">
        <v>239977</v>
      </c>
      <c r="U126" s="6">
        <v>134473</v>
      </c>
      <c r="V126" s="6">
        <v>105504</v>
      </c>
    </row>
    <row r="127" spans="1:22" x14ac:dyDescent="0.25">
      <c r="A127">
        <v>2026</v>
      </c>
      <c r="B127" s="1" t="s">
        <v>15</v>
      </c>
      <c r="C127" t="s">
        <v>50</v>
      </c>
      <c r="D127" s="1" t="s">
        <v>529</v>
      </c>
      <c r="E127" t="s">
        <v>204</v>
      </c>
      <c r="F127" s="6">
        <v>267678</v>
      </c>
      <c r="G127" s="6">
        <v>209622</v>
      </c>
      <c r="H127" s="6">
        <v>44898</v>
      </c>
      <c r="I127" s="6">
        <v>164724</v>
      </c>
      <c r="J127" s="6">
        <v>58056</v>
      </c>
      <c r="K127">
        <v>0</v>
      </c>
      <c r="L127" s="6">
        <v>222780</v>
      </c>
      <c r="M127">
        <v>257</v>
      </c>
      <c r="N127">
        <v>71</v>
      </c>
      <c r="O127">
        <v>328</v>
      </c>
      <c r="P127" s="6">
        <v>32856</v>
      </c>
      <c r="Q127" s="6">
        <v>0</v>
      </c>
      <c r="R127" s="6">
        <v>45115</v>
      </c>
      <c r="S127" s="6">
        <v>50291</v>
      </c>
      <c r="T127" s="6">
        <v>351370</v>
      </c>
      <c r="U127" s="6">
        <v>197837</v>
      </c>
      <c r="V127" s="6">
        <v>153533</v>
      </c>
    </row>
    <row r="128" spans="1:22" x14ac:dyDescent="0.25">
      <c r="A128">
        <v>2026</v>
      </c>
      <c r="B128" s="1" t="s">
        <v>18</v>
      </c>
      <c r="C128" t="s">
        <v>53</v>
      </c>
      <c r="D128" s="1" t="s">
        <v>530</v>
      </c>
      <c r="E128" t="s">
        <v>205</v>
      </c>
      <c r="F128" s="6">
        <v>150581</v>
      </c>
      <c r="G128" s="6">
        <v>121857</v>
      </c>
      <c r="H128" s="6">
        <v>26100</v>
      </c>
      <c r="I128" s="6">
        <v>95757</v>
      </c>
      <c r="J128" s="6">
        <v>28724</v>
      </c>
      <c r="K128" s="6">
        <v>0</v>
      </c>
      <c r="L128" s="6">
        <v>124481</v>
      </c>
      <c r="M128">
        <v>0</v>
      </c>
      <c r="N128">
        <v>0</v>
      </c>
      <c r="O128">
        <v>0</v>
      </c>
      <c r="P128" s="6">
        <v>12941</v>
      </c>
      <c r="Q128" s="6">
        <v>0</v>
      </c>
      <c r="R128" s="6">
        <v>25166</v>
      </c>
      <c r="S128" s="6">
        <v>27657</v>
      </c>
      <c r="T128" s="6">
        <v>190245</v>
      </c>
      <c r="U128" s="6">
        <v>108698</v>
      </c>
      <c r="V128" s="6">
        <v>81547</v>
      </c>
    </row>
    <row r="129" spans="1:22" x14ac:dyDescent="0.25">
      <c r="A129">
        <v>2026</v>
      </c>
      <c r="B129" s="1" t="s">
        <v>20</v>
      </c>
      <c r="C129" t="s">
        <v>55</v>
      </c>
      <c r="D129" s="1" t="s">
        <v>531</v>
      </c>
      <c r="E129" t="s">
        <v>206</v>
      </c>
      <c r="F129" s="6">
        <v>81785</v>
      </c>
      <c r="G129" s="6">
        <v>64656</v>
      </c>
      <c r="H129" s="6">
        <v>13848</v>
      </c>
      <c r="I129" s="6">
        <v>50808</v>
      </c>
      <c r="J129" s="6">
        <v>17129</v>
      </c>
      <c r="K129" s="6">
        <v>3961</v>
      </c>
      <c r="L129" s="6">
        <v>71898</v>
      </c>
      <c r="M129">
        <v>132</v>
      </c>
      <c r="N129">
        <v>36</v>
      </c>
      <c r="O129">
        <v>168</v>
      </c>
      <c r="P129" s="6">
        <v>8440</v>
      </c>
      <c r="Q129">
        <v>0</v>
      </c>
      <c r="R129" s="6">
        <v>13193</v>
      </c>
      <c r="S129" s="6">
        <v>14588</v>
      </c>
      <c r="T129" s="6">
        <v>108287</v>
      </c>
      <c r="U129" s="6">
        <v>59380</v>
      </c>
      <c r="V129" s="6">
        <v>48907</v>
      </c>
    </row>
    <row r="130" spans="1:22" x14ac:dyDescent="0.25">
      <c r="A130">
        <v>2026</v>
      </c>
      <c r="B130" s="1" t="s">
        <v>15</v>
      </c>
      <c r="C130" t="s">
        <v>50</v>
      </c>
      <c r="D130" s="1" t="s">
        <v>532</v>
      </c>
      <c r="E130" t="s">
        <v>207</v>
      </c>
      <c r="F130" s="6">
        <v>443525</v>
      </c>
      <c r="G130" s="6">
        <v>347329</v>
      </c>
      <c r="H130" s="6">
        <v>74392</v>
      </c>
      <c r="I130" s="6">
        <v>272937</v>
      </c>
      <c r="J130" s="6">
        <v>96196</v>
      </c>
      <c r="K130">
        <v>0</v>
      </c>
      <c r="L130" s="6">
        <v>369133</v>
      </c>
      <c r="M130">
        <v>425</v>
      </c>
      <c r="N130">
        <v>118</v>
      </c>
      <c r="O130">
        <v>543</v>
      </c>
      <c r="P130" s="6">
        <v>54440</v>
      </c>
      <c r="Q130" s="6">
        <v>0</v>
      </c>
      <c r="R130" s="6">
        <v>71950</v>
      </c>
      <c r="S130" s="6">
        <v>80204</v>
      </c>
      <c r="T130" s="6">
        <v>576270</v>
      </c>
      <c r="U130" s="6">
        <v>327802</v>
      </c>
      <c r="V130" s="6">
        <v>248468</v>
      </c>
    </row>
    <row r="131" spans="1:22" x14ac:dyDescent="0.25">
      <c r="A131">
        <v>2026</v>
      </c>
      <c r="B131" s="1" t="s">
        <v>20</v>
      </c>
      <c r="C131" t="s">
        <v>55</v>
      </c>
      <c r="D131" s="1" t="s">
        <v>533</v>
      </c>
      <c r="E131" t="s">
        <v>208</v>
      </c>
      <c r="F131" s="6">
        <v>531301</v>
      </c>
      <c r="G131" s="6">
        <v>420025</v>
      </c>
      <c r="H131" s="6">
        <v>89963</v>
      </c>
      <c r="I131" s="6">
        <v>330062</v>
      </c>
      <c r="J131" s="6">
        <v>111276</v>
      </c>
      <c r="K131">
        <v>0</v>
      </c>
      <c r="L131" s="6">
        <v>441338</v>
      </c>
      <c r="M131">
        <v>858</v>
      </c>
      <c r="N131">
        <v>228</v>
      </c>
      <c r="O131" s="6">
        <v>1086</v>
      </c>
      <c r="P131" s="6">
        <v>54558</v>
      </c>
      <c r="Q131" s="6">
        <v>0</v>
      </c>
      <c r="R131" s="6">
        <v>92351</v>
      </c>
      <c r="S131" s="6">
        <v>102113</v>
      </c>
      <c r="T131" s="6">
        <v>691446</v>
      </c>
      <c r="U131" s="6">
        <v>385478</v>
      </c>
      <c r="V131" s="6">
        <v>305968</v>
      </c>
    </row>
    <row r="132" spans="1:22" x14ac:dyDescent="0.25">
      <c r="A132">
        <v>2026</v>
      </c>
      <c r="B132" s="1" t="s">
        <v>14</v>
      </c>
      <c r="C132" t="s">
        <v>49</v>
      </c>
      <c r="D132" s="1" t="s">
        <v>534</v>
      </c>
      <c r="E132" t="s">
        <v>209</v>
      </c>
      <c r="F132" s="6">
        <v>118069</v>
      </c>
      <c r="G132" s="6">
        <v>90754</v>
      </c>
      <c r="H132" s="6">
        <v>19438</v>
      </c>
      <c r="I132" s="6">
        <v>71316</v>
      </c>
      <c r="J132" s="6">
        <v>27315</v>
      </c>
      <c r="K132">
        <v>0</v>
      </c>
      <c r="L132" s="6">
        <v>98631</v>
      </c>
      <c r="M132">
        <v>0</v>
      </c>
      <c r="N132">
        <v>0</v>
      </c>
      <c r="O132">
        <v>0</v>
      </c>
      <c r="P132" s="6">
        <v>12492</v>
      </c>
      <c r="Q132" s="6">
        <v>0</v>
      </c>
      <c r="R132" s="6">
        <v>19537</v>
      </c>
      <c r="S132" s="6">
        <v>21875</v>
      </c>
      <c r="T132" s="6">
        <v>152535</v>
      </c>
      <c r="U132" s="6">
        <v>83808</v>
      </c>
      <c r="V132" s="6">
        <v>68727</v>
      </c>
    </row>
    <row r="133" spans="1:22" x14ac:dyDescent="0.25">
      <c r="A133">
        <v>2026</v>
      </c>
      <c r="B133" s="1" t="s">
        <v>19</v>
      </c>
      <c r="C133" t="s">
        <v>54</v>
      </c>
      <c r="D133" s="1" t="s">
        <v>535</v>
      </c>
      <c r="E133" t="s">
        <v>210</v>
      </c>
      <c r="F133" s="6">
        <v>265793</v>
      </c>
      <c r="G133" s="6">
        <v>206238</v>
      </c>
      <c r="H133" s="6">
        <v>44173</v>
      </c>
      <c r="I133" s="6">
        <v>162065</v>
      </c>
      <c r="J133" s="6">
        <v>59555</v>
      </c>
      <c r="K133">
        <v>0</v>
      </c>
      <c r="L133" s="6">
        <v>221620</v>
      </c>
      <c r="M133">
        <v>386</v>
      </c>
      <c r="N133">
        <v>112</v>
      </c>
      <c r="O133">
        <v>498</v>
      </c>
      <c r="P133" s="6">
        <v>26803</v>
      </c>
      <c r="Q133" s="6">
        <v>0</v>
      </c>
      <c r="R133" s="6">
        <v>50845</v>
      </c>
      <c r="S133" s="6">
        <v>56914</v>
      </c>
      <c r="T133" s="6">
        <v>356680</v>
      </c>
      <c r="U133" s="6">
        <v>189255</v>
      </c>
      <c r="V133" s="6">
        <v>167425</v>
      </c>
    </row>
    <row r="134" spans="1:22" x14ac:dyDescent="0.25">
      <c r="A134">
        <v>2026</v>
      </c>
      <c r="B134" s="1" t="s">
        <v>17</v>
      </c>
      <c r="C134" t="s">
        <v>52</v>
      </c>
      <c r="D134" s="1" t="s">
        <v>536</v>
      </c>
      <c r="E134" t="s">
        <v>211</v>
      </c>
      <c r="F134" s="6">
        <v>216333</v>
      </c>
      <c r="G134" s="6">
        <v>171495</v>
      </c>
      <c r="H134" s="6">
        <v>36732</v>
      </c>
      <c r="I134" s="6">
        <v>134763</v>
      </c>
      <c r="J134" s="6">
        <v>44838</v>
      </c>
      <c r="K134" s="6">
        <v>6569</v>
      </c>
      <c r="L134" s="6">
        <v>186170</v>
      </c>
      <c r="M134">
        <v>190</v>
      </c>
      <c r="N134">
        <v>50</v>
      </c>
      <c r="O134">
        <v>240</v>
      </c>
      <c r="P134" s="6">
        <v>21146</v>
      </c>
      <c r="Q134" s="6">
        <v>0</v>
      </c>
      <c r="R134" s="6">
        <v>37234</v>
      </c>
      <c r="S134" s="6">
        <v>40947</v>
      </c>
      <c r="T134" s="6">
        <v>285737</v>
      </c>
      <c r="U134" s="6">
        <v>156100</v>
      </c>
      <c r="V134" s="6">
        <v>129637</v>
      </c>
    </row>
    <row r="135" spans="1:22" x14ac:dyDescent="0.25">
      <c r="A135">
        <v>2026</v>
      </c>
      <c r="B135" s="1" t="s">
        <v>19</v>
      </c>
      <c r="C135" t="s">
        <v>54</v>
      </c>
      <c r="D135" s="1" t="s">
        <v>537</v>
      </c>
      <c r="E135" t="s">
        <v>212</v>
      </c>
      <c r="F135" s="6">
        <v>222558</v>
      </c>
      <c r="G135" s="6">
        <v>172690</v>
      </c>
      <c r="H135" s="6">
        <v>36988</v>
      </c>
      <c r="I135" s="6">
        <v>135702</v>
      </c>
      <c r="J135" s="6">
        <v>49868</v>
      </c>
      <c r="K135">
        <v>0</v>
      </c>
      <c r="L135" s="6">
        <v>185570</v>
      </c>
      <c r="M135">
        <v>323</v>
      </c>
      <c r="N135">
        <v>93</v>
      </c>
      <c r="O135">
        <v>416</v>
      </c>
      <c r="P135" s="6">
        <v>22444</v>
      </c>
      <c r="Q135" s="6">
        <v>0</v>
      </c>
      <c r="R135" s="6">
        <v>38444</v>
      </c>
      <c r="S135" s="6">
        <v>43032</v>
      </c>
      <c r="T135" s="6">
        <v>289906</v>
      </c>
      <c r="U135" s="6">
        <v>158469</v>
      </c>
      <c r="V135" s="6">
        <v>131437</v>
      </c>
    </row>
    <row r="136" spans="1:22" x14ac:dyDescent="0.25">
      <c r="A136">
        <v>2026</v>
      </c>
      <c r="B136" s="1" t="s">
        <v>17</v>
      </c>
      <c r="C136" t="s">
        <v>52</v>
      </c>
      <c r="D136" s="1" t="s">
        <v>538</v>
      </c>
      <c r="E136" t="s">
        <v>213</v>
      </c>
      <c r="F136" s="6">
        <v>117608</v>
      </c>
      <c r="G136" s="6">
        <v>93233</v>
      </c>
      <c r="H136" s="6">
        <v>19969</v>
      </c>
      <c r="I136" s="6">
        <v>73264</v>
      </c>
      <c r="J136" s="6">
        <v>24375</v>
      </c>
      <c r="K136" s="6">
        <v>3088</v>
      </c>
      <c r="L136" s="6">
        <v>100727</v>
      </c>
      <c r="M136">
        <v>105</v>
      </c>
      <c r="N136">
        <v>27</v>
      </c>
      <c r="O136">
        <v>132</v>
      </c>
      <c r="P136" s="6">
        <v>11359</v>
      </c>
      <c r="Q136" s="6">
        <v>0</v>
      </c>
      <c r="R136" s="6">
        <v>20339</v>
      </c>
      <c r="S136" s="6">
        <v>22367</v>
      </c>
      <c r="T136" s="6">
        <v>154924</v>
      </c>
      <c r="U136" s="6">
        <v>84728</v>
      </c>
      <c r="V136" s="6">
        <v>70196</v>
      </c>
    </row>
    <row r="137" spans="1:22" x14ac:dyDescent="0.25">
      <c r="A137">
        <v>2026</v>
      </c>
      <c r="B137" s="1" t="s">
        <v>13</v>
      </c>
      <c r="C137" t="s">
        <v>48</v>
      </c>
      <c r="D137" s="1" t="s">
        <v>539</v>
      </c>
      <c r="E137" t="s">
        <v>214</v>
      </c>
      <c r="F137" s="6">
        <v>475375</v>
      </c>
      <c r="G137" s="6">
        <v>361124</v>
      </c>
      <c r="H137" s="6">
        <v>77347</v>
      </c>
      <c r="I137" s="6">
        <v>283777</v>
      </c>
      <c r="J137" s="6">
        <v>114251</v>
      </c>
      <c r="K137">
        <v>0</v>
      </c>
      <c r="L137" s="6">
        <v>398028</v>
      </c>
      <c r="M137">
        <v>936</v>
      </c>
      <c r="N137">
        <v>296</v>
      </c>
      <c r="O137" s="6">
        <v>1232</v>
      </c>
      <c r="P137" s="6">
        <v>47142</v>
      </c>
      <c r="Q137" s="6">
        <v>0</v>
      </c>
      <c r="R137" s="6">
        <v>82619</v>
      </c>
      <c r="S137" s="6">
        <v>92026</v>
      </c>
      <c r="T137" s="6">
        <v>621047</v>
      </c>
      <c r="U137" s="6">
        <v>331855</v>
      </c>
      <c r="V137" s="6">
        <v>289192</v>
      </c>
    </row>
    <row r="138" spans="1:22" x14ac:dyDescent="0.25">
      <c r="A138">
        <v>2026</v>
      </c>
      <c r="B138" s="1" t="s">
        <v>15</v>
      </c>
      <c r="C138" t="s">
        <v>50</v>
      </c>
      <c r="D138" s="1" t="s">
        <v>540</v>
      </c>
      <c r="E138" t="s">
        <v>215</v>
      </c>
      <c r="F138" s="6">
        <v>159063</v>
      </c>
      <c r="G138" s="6">
        <v>124564</v>
      </c>
      <c r="H138" s="6">
        <v>26680</v>
      </c>
      <c r="I138" s="6">
        <v>97884</v>
      </c>
      <c r="J138" s="6">
        <v>34499</v>
      </c>
      <c r="K138">
        <v>0</v>
      </c>
      <c r="L138" s="6">
        <v>132383</v>
      </c>
      <c r="M138">
        <v>152</v>
      </c>
      <c r="N138">
        <v>42</v>
      </c>
      <c r="O138">
        <v>194</v>
      </c>
      <c r="P138" s="6">
        <v>19524</v>
      </c>
      <c r="Q138" s="6">
        <v>0</v>
      </c>
      <c r="R138" s="6">
        <v>26638</v>
      </c>
      <c r="S138" s="6">
        <v>29694</v>
      </c>
      <c r="T138" s="6">
        <v>208433</v>
      </c>
      <c r="U138" s="6">
        <v>117560</v>
      </c>
      <c r="V138" s="6">
        <v>90873</v>
      </c>
    </row>
    <row r="139" spans="1:22" x14ac:dyDescent="0.25">
      <c r="A139">
        <v>2026</v>
      </c>
      <c r="B139" s="1" t="s">
        <v>15</v>
      </c>
      <c r="C139" t="s">
        <v>50</v>
      </c>
      <c r="D139" s="1" t="s">
        <v>541</v>
      </c>
      <c r="E139" t="s">
        <v>216</v>
      </c>
      <c r="F139" s="6">
        <v>304942</v>
      </c>
      <c r="G139" s="6">
        <v>238803</v>
      </c>
      <c r="H139" s="6">
        <v>51148</v>
      </c>
      <c r="I139" s="6">
        <v>187655</v>
      </c>
      <c r="J139" s="6">
        <v>66139</v>
      </c>
      <c r="K139">
        <v>0</v>
      </c>
      <c r="L139" s="6">
        <v>253794</v>
      </c>
      <c r="M139">
        <v>293</v>
      </c>
      <c r="N139">
        <v>81</v>
      </c>
      <c r="O139">
        <v>374</v>
      </c>
      <c r="P139" s="6">
        <v>37430</v>
      </c>
      <c r="Q139" s="6">
        <v>0</v>
      </c>
      <c r="R139" s="6">
        <v>52428</v>
      </c>
      <c r="S139" s="6">
        <v>58442</v>
      </c>
      <c r="T139" s="6">
        <v>402468</v>
      </c>
      <c r="U139" s="6">
        <v>225378</v>
      </c>
      <c r="V139" s="6">
        <v>177090</v>
      </c>
    </row>
    <row r="140" spans="1:22" x14ac:dyDescent="0.25">
      <c r="A140">
        <v>2026</v>
      </c>
      <c r="B140" s="1" t="s">
        <v>14</v>
      </c>
      <c r="C140" t="s">
        <v>49</v>
      </c>
      <c r="D140" s="1" t="s">
        <v>542</v>
      </c>
      <c r="E140" t="s">
        <v>217</v>
      </c>
      <c r="F140" s="6">
        <v>483707</v>
      </c>
      <c r="G140" s="6">
        <v>371802</v>
      </c>
      <c r="H140" s="6">
        <v>79634</v>
      </c>
      <c r="I140" s="6">
        <v>292168</v>
      </c>
      <c r="J140" s="6">
        <v>111905</v>
      </c>
      <c r="K140" s="6">
        <v>0</v>
      </c>
      <c r="L140" s="6">
        <v>404073</v>
      </c>
      <c r="M140">
        <v>0</v>
      </c>
      <c r="N140">
        <v>0</v>
      </c>
      <c r="O140">
        <v>0</v>
      </c>
      <c r="P140" s="6">
        <v>51177</v>
      </c>
      <c r="Q140" s="6">
        <v>0</v>
      </c>
      <c r="R140" s="6">
        <v>86902</v>
      </c>
      <c r="S140" s="6">
        <v>97303</v>
      </c>
      <c r="T140" s="6">
        <v>639455</v>
      </c>
      <c r="U140" s="6">
        <v>343345</v>
      </c>
      <c r="V140" s="6">
        <v>296110</v>
      </c>
    </row>
    <row r="141" spans="1:22" x14ac:dyDescent="0.25">
      <c r="A141">
        <v>2026</v>
      </c>
      <c r="B141" s="1" t="s">
        <v>20</v>
      </c>
      <c r="C141" t="s">
        <v>55</v>
      </c>
      <c r="D141" s="1" t="s">
        <v>543</v>
      </c>
      <c r="E141" t="s">
        <v>218</v>
      </c>
      <c r="F141" s="6">
        <v>273755</v>
      </c>
      <c r="G141" s="6">
        <v>216420</v>
      </c>
      <c r="H141" s="6">
        <v>46354</v>
      </c>
      <c r="I141" s="6">
        <v>170066</v>
      </c>
      <c r="J141" s="6">
        <v>57335</v>
      </c>
      <c r="K141">
        <v>0</v>
      </c>
      <c r="L141" s="6">
        <v>227401</v>
      </c>
      <c r="M141">
        <v>442</v>
      </c>
      <c r="N141">
        <v>117</v>
      </c>
      <c r="O141">
        <v>559</v>
      </c>
      <c r="P141" s="6">
        <v>28111</v>
      </c>
      <c r="Q141" s="6">
        <v>0</v>
      </c>
      <c r="R141" s="6">
        <v>45168</v>
      </c>
      <c r="S141" s="6">
        <v>49943</v>
      </c>
      <c r="T141" s="6">
        <v>351182</v>
      </c>
      <c r="U141" s="6">
        <v>198618</v>
      </c>
      <c r="V141" s="6">
        <v>152564</v>
      </c>
    </row>
    <row r="142" spans="1:22" x14ac:dyDescent="0.25">
      <c r="A142">
        <v>2026</v>
      </c>
      <c r="B142" s="1" t="s">
        <v>15</v>
      </c>
      <c r="C142" t="s">
        <v>50</v>
      </c>
      <c r="D142" s="1" t="s">
        <v>544</v>
      </c>
      <c r="E142" t="s">
        <v>219</v>
      </c>
      <c r="F142" s="6">
        <v>540470</v>
      </c>
      <c r="G142" s="6">
        <v>423249</v>
      </c>
      <c r="H142" s="6">
        <v>90653</v>
      </c>
      <c r="I142" s="6">
        <v>332596</v>
      </c>
      <c r="J142" s="6">
        <v>117221</v>
      </c>
      <c r="K142">
        <v>0</v>
      </c>
      <c r="L142" s="6">
        <v>449817</v>
      </c>
      <c r="M142">
        <v>516</v>
      </c>
      <c r="N142">
        <v>143</v>
      </c>
      <c r="O142">
        <v>659</v>
      </c>
      <c r="P142" s="6">
        <v>66429</v>
      </c>
      <c r="Q142" s="6">
        <v>0</v>
      </c>
      <c r="R142" s="6">
        <v>97282</v>
      </c>
      <c r="S142" s="6">
        <v>108442</v>
      </c>
      <c r="T142" s="6">
        <v>722629</v>
      </c>
      <c r="U142" s="6">
        <v>399541</v>
      </c>
      <c r="V142" s="6">
        <v>323088</v>
      </c>
    </row>
    <row r="143" spans="1:22" x14ac:dyDescent="0.25">
      <c r="A143">
        <v>2026</v>
      </c>
      <c r="B143" s="1" t="s">
        <v>18</v>
      </c>
      <c r="C143" t="s">
        <v>53</v>
      </c>
      <c r="D143" s="1" t="s">
        <v>545</v>
      </c>
      <c r="E143" t="s">
        <v>220</v>
      </c>
      <c r="F143" s="6">
        <v>1333712</v>
      </c>
      <c r="G143" s="6">
        <v>1079295</v>
      </c>
      <c r="H143" s="6">
        <v>231167</v>
      </c>
      <c r="I143" s="6">
        <v>848128</v>
      </c>
      <c r="J143" s="6">
        <v>254417</v>
      </c>
      <c r="K143">
        <v>0</v>
      </c>
      <c r="L143" s="6">
        <v>1102545</v>
      </c>
      <c r="M143">
        <v>0</v>
      </c>
      <c r="N143">
        <v>0</v>
      </c>
      <c r="O143">
        <v>0</v>
      </c>
      <c r="P143" s="6">
        <v>114616</v>
      </c>
      <c r="Q143" s="6">
        <v>0</v>
      </c>
      <c r="R143" s="6">
        <v>231875</v>
      </c>
      <c r="S143" s="6">
        <v>254826</v>
      </c>
      <c r="T143" s="6">
        <v>1703862</v>
      </c>
      <c r="U143" s="6">
        <v>962744</v>
      </c>
      <c r="V143" s="6">
        <v>741118</v>
      </c>
    </row>
    <row r="144" spans="1:22" x14ac:dyDescent="0.25">
      <c r="A144">
        <v>2026</v>
      </c>
      <c r="B144" s="1" t="s">
        <v>18</v>
      </c>
      <c r="C144" t="s">
        <v>53</v>
      </c>
      <c r="D144" s="1" t="s">
        <v>546</v>
      </c>
      <c r="E144" t="s">
        <v>221</v>
      </c>
      <c r="F144" s="6">
        <v>309519</v>
      </c>
      <c r="G144" s="6">
        <v>250476</v>
      </c>
      <c r="H144" s="6">
        <v>53648</v>
      </c>
      <c r="I144" s="6">
        <v>196828</v>
      </c>
      <c r="J144" s="6">
        <v>59043</v>
      </c>
      <c r="K144">
        <v>0</v>
      </c>
      <c r="L144" s="6">
        <v>255871</v>
      </c>
      <c r="M144">
        <v>0</v>
      </c>
      <c r="N144">
        <v>0</v>
      </c>
      <c r="O144">
        <v>0</v>
      </c>
      <c r="P144" s="6">
        <v>26599</v>
      </c>
      <c r="Q144" s="6">
        <v>0</v>
      </c>
      <c r="R144" s="6">
        <v>54223</v>
      </c>
      <c r="S144" s="6">
        <v>59590</v>
      </c>
      <c r="T144" s="6">
        <v>396283</v>
      </c>
      <c r="U144" s="6">
        <v>223427</v>
      </c>
      <c r="V144" s="6">
        <v>172856</v>
      </c>
    </row>
    <row r="145" spans="1:22" x14ac:dyDescent="0.25">
      <c r="A145">
        <v>2026</v>
      </c>
      <c r="B145" s="1" t="s">
        <v>17</v>
      </c>
      <c r="C145" t="s">
        <v>52</v>
      </c>
      <c r="D145" s="1" t="s">
        <v>547</v>
      </c>
      <c r="E145" t="s">
        <v>222</v>
      </c>
      <c r="F145" s="6">
        <v>5641386</v>
      </c>
      <c r="G145" s="6">
        <v>4472147</v>
      </c>
      <c r="H145" s="6">
        <v>957862</v>
      </c>
      <c r="I145" s="6">
        <v>3514285</v>
      </c>
      <c r="J145" s="6">
        <v>1169239</v>
      </c>
      <c r="K145">
        <v>0</v>
      </c>
      <c r="L145" s="6">
        <v>4683524</v>
      </c>
      <c r="M145" s="6">
        <v>4971</v>
      </c>
      <c r="N145" s="6">
        <v>1299</v>
      </c>
      <c r="O145" s="6">
        <v>6270</v>
      </c>
      <c r="P145" s="6">
        <v>536009</v>
      </c>
      <c r="Q145" s="6">
        <v>0</v>
      </c>
      <c r="R145" s="6">
        <v>1034222</v>
      </c>
      <c r="S145" s="6">
        <v>1137357</v>
      </c>
      <c r="T145" s="6">
        <v>7397382</v>
      </c>
      <c r="U145" s="6">
        <v>4055264</v>
      </c>
      <c r="V145" s="6">
        <v>3342118</v>
      </c>
    </row>
    <row r="146" spans="1:22" x14ac:dyDescent="0.25">
      <c r="A146">
        <v>2026</v>
      </c>
      <c r="B146" s="1" t="s">
        <v>15</v>
      </c>
      <c r="C146" t="s">
        <v>50</v>
      </c>
      <c r="D146" s="1" t="s">
        <v>548</v>
      </c>
      <c r="E146" t="s">
        <v>223</v>
      </c>
      <c r="F146" s="6">
        <v>380963</v>
      </c>
      <c r="G146" s="6">
        <v>298337</v>
      </c>
      <c r="H146" s="6">
        <v>63899</v>
      </c>
      <c r="I146" s="6">
        <v>234438</v>
      </c>
      <c r="J146" s="6">
        <v>82626</v>
      </c>
      <c r="K146" s="6">
        <v>5217</v>
      </c>
      <c r="L146" s="6">
        <v>322281</v>
      </c>
      <c r="M146">
        <v>364</v>
      </c>
      <c r="N146">
        <v>101</v>
      </c>
      <c r="O146">
        <v>465</v>
      </c>
      <c r="P146" s="6">
        <v>47557</v>
      </c>
      <c r="Q146" s="6">
        <v>0</v>
      </c>
      <c r="R146" s="6">
        <v>63266</v>
      </c>
      <c r="S146" s="6">
        <v>70524</v>
      </c>
      <c r="T146" s="6">
        <v>504093</v>
      </c>
      <c r="U146" s="6">
        <v>282359</v>
      </c>
      <c r="V146" s="6">
        <v>221734</v>
      </c>
    </row>
    <row r="147" spans="1:22" x14ac:dyDescent="0.25">
      <c r="A147">
        <v>2026</v>
      </c>
      <c r="B147" s="1" t="s">
        <v>17</v>
      </c>
      <c r="C147" t="s">
        <v>52</v>
      </c>
      <c r="D147" s="1" t="s">
        <v>549</v>
      </c>
      <c r="E147" t="s">
        <v>224</v>
      </c>
      <c r="F147" s="6">
        <v>188661</v>
      </c>
      <c r="G147" s="6">
        <v>149559</v>
      </c>
      <c r="H147" s="6">
        <v>32033</v>
      </c>
      <c r="I147" s="6">
        <v>117526</v>
      </c>
      <c r="J147" s="6">
        <v>39102</v>
      </c>
      <c r="K147" s="6">
        <v>3338</v>
      </c>
      <c r="L147" s="6">
        <v>159966</v>
      </c>
      <c r="M147">
        <v>166</v>
      </c>
      <c r="N147">
        <v>43</v>
      </c>
      <c r="O147">
        <v>209</v>
      </c>
      <c r="P147" s="6">
        <v>18214</v>
      </c>
      <c r="Q147" s="6">
        <v>0</v>
      </c>
      <c r="R147" s="6">
        <v>31645</v>
      </c>
      <c r="S147" s="6">
        <v>34801</v>
      </c>
      <c r="T147" s="6">
        <v>244835</v>
      </c>
      <c r="U147" s="6">
        <v>135905</v>
      </c>
      <c r="V147" s="6">
        <v>108930</v>
      </c>
    </row>
    <row r="148" spans="1:22" x14ac:dyDescent="0.25">
      <c r="A148">
        <v>2026</v>
      </c>
      <c r="B148" s="1" t="s">
        <v>15</v>
      </c>
      <c r="C148" t="s">
        <v>50</v>
      </c>
      <c r="D148" s="1" t="s">
        <v>550</v>
      </c>
      <c r="E148" t="s">
        <v>225</v>
      </c>
      <c r="F148" s="6">
        <v>171282</v>
      </c>
      <c r="G148" s="6">
        <v>134133</v>
      </c>
      <c r="H148" s="6">
        <v>28729</v>
      </c>
      <c r="I148" s="6">
        <v>105404</v>
      </c>
      <c r="J148" s="6">
        <v>37149</v>
      </c>
      <c r="K148" s="6">
        <v>0</v>
      </c>
      <c r="L148" s="6">
        <v>142553</v>
      </c>
      <c r="M148">
        <v>163</v>
      </c>
      <c r="N148">
        <v>45</v>
      </c>
      <c r="O148">
        <v>208</v>
      </c>
      <c r="P148" s="6">
        <v>21024</v>
      </c>
      <c r="Q148" s="6">
        <v>0</v>
      </c>
      <c r="R148" s="6">
        <v>30229</v>
      </c>
      <c r="S148" s="6">
        <v>33697</v>
      </c>
      <c r="T148" s="6">
        <v>227711</v>
      </c>
      <c r="U148" s="6">
        <v>126591</v>
      </c>
      <c r="V148" s="6">
        <v>101120</v>
      </c>
    </row>
    <row r="149" spans="1:22" x14ac:dyDescent="0.25">
      <c r="A149">
        <v>2026</v>
      </c>
      <c r="B149" s="1" t="s">
        <v>15</v>
      </c>
      <c r="C149" t="s">
        <v>50</v>
      </c>
      <c r="D149" s="1" t="s">
        <v>551</v>
      </c>
      <c r="E149" t="s">
        <v>226</v>
      </c>
      <c r="F149" s="6">
        <v>342124</v>
      </c>
      <c r="G149" s="6">
        <v>267921</v>
      </c>
      <c r="H149" s="6">
        <v>57385</v>
      </c>
      <c r="I149" s="6">
        <v>210536</v>
      </c>
      <c r="J149" s="6">
        <v>74203</v>
      </c>
      <c r="K149" s="6">
        <v>87</v>
      </c>
      <c r="L149" s="6">
        <v>284826</v>
      </c>
      <c r="M149">
        <v>328</v>
      </c>
      <c r="N149">
        <v>91</v>
      </c>
      <c r="O149">
        <v>419</v>
      </c>
      <c r="P149" s="6">
        <v>41994</v>
      </c>
      <c r="Q149" s="6">
        <v>0</v>
      </c>
      <c r="R149" s="6">
        <v>64702</v>
      </c>
      <c r="S149" s="6">
        <v>72125</v>
      </c>
      <c r="T149" s="6">
        <v>464066</v>
      </c>
      <c r="U149" s="6">
        <v>252859</v>
      </c>
      <c r="V149" s="6">
        <v>211207</v>
      </c>
    </row>
    <row r="150" spans="1:22" x14ac:dyDescent="0.25">
      <c r="A150">
        <v>2026</v>
      </c>
      <c r="B150" s="1" t="s">
        <v>18</v>
      </c>
      <c r="C150" t="s">
        <v>53</v>
      </c>
      <c r="D150" s="1" t="s">
        <v>552</v>
      </c>
      <c r="E150" t="s">
        <v>227</v>
      </c>
      <c r="F150" s="6">
        <v>2572056</v>
      </c>
      <c r="G150" s="6">
        <v>2081415</v>
      </c>
      <c r="H150" s="6">
        <v>445806</v>
      </c>
      <c r="I150" s="6">
        <v>1635609</v>
      </c>
      <c r="J150" s="6">
        <v>490641</v>
      </c>
      <c r="K150">
        <v>0</v>
      </c>
      <c r="L150" s="6">
        <v>2126250</v>
      </c>
      <c r="M150">
        <v>0</v>
      </c>
      <c r="N150">
        <v>0</v>
      </c>
      <c r="O150">
        <v>0</v>
      </c>
      <c r="P150" s="6">
        <v>221037</v>
      </c>
      <c r="Q150" s="6">
        <v>0</v>
      </c>
      <c r="R150" s="6">
        <v>470040</v>
      </c>
      <c r="S150" s="6">
        <v>516566</v>
      </c>
      <c r="T150" s="6">
        <v>3333893</v>
      </c>
      <c r="U150" s="6">
        <v>1856646</v>
      </c>
      <c r="V150" s="6">
        <v>1477247</v>
      </c>
    </row>
    <row r="151" spans="1:22" x14ac:dyDescent="0.25">
      <c r="A151">
        <v>2026</v>
      </c>
      <c r="B151" s="1" t="s">
        <v>21</v>
      </c>
      <c r="C151" t="s">
        <v>56</v>
      </c>
      <c r="D151" s="1" t="s">
        <v>553</v>
      </c>
      <c r="E151" t="s">
        <v>228</v>
      </c>
      <c r="F151" s="6">
        <v>745635</v>
      </c>
      <c r="G151" s="6">
        <v>593960</v>
      </c>
      <c r="H151" s="6">
        <v>127217</v>
      </c>
      <c r="I151" s="6">
        <v>466743</v>
      </c>
      <c r="J151" s="6">
        <v>151675</v>
      </c>
      <c r="K151">
        <v>0</v>
      </c>
      <c r="L151" s="6">
        <v>618418</v>
      </c>
      <c r="M151" s="6">
        <v>1358</v>
      </c>
      <c r="N151">
        <v>347</v>
      </c>
      <c r="O151" s="6">
        <v>1705</v>
      </c>
      <c r="P151" s="6">
        <v>75020</v>
      </c>
      <c r="Q151" s="6">
        <v>0</v>
      </c>
      <c r="R151" s="6">
        <v>122904</v>
      </c>
      <c r="S151" s="6">
        <v>135146</v>
      </c>
      <c r="T151" s="6">
        <v>953193</v>
      </c>
      <c r="U151" s="6">
        <v>543121</v>
      </c>
      <c r="V151" s="6">
        <v>410072</v>
      </c>
    </row>
    <row r="152" spans="1:22" x14ac:dyDescent="0.25">
      <c r="A152">
        <v>2026</v>
      </c>
      <c r="B152" s="1" t="s">
        <v>21</v>
      </c>
      <c r="C152" t="s">
        <v>56</v>
      </c>
      <c r="D152" s="1" t="s">
        <v>554</v>
      </c>
      <c r="E152" t="s">
        <v>229</v>
      </c>
      <c r="F152" s="6">
        <v>127207</v>
      </c>
      <c r="G152" s="6">
        <v>101331</v>
      </c>
      <c r="H152" s="6">
        <v>21703</v>
      </c>
      <c r="I152" s="6">
        <v>79628</v>
      </c>
      <c r="J152" s="6">
        <v>25876</v>
      </c>
      <c r="K152" s="6">
        <v>6377</v>
      </c>
      <c r="L152" s="6">
        <v>111881</v>
      </c>
      <c r="M152">
        <v>232</v>
      </c>
      <c r="N152">
        <v>59</v>
      </c>
      <c r="O152">
        <v>291</v>
      </c>
      <c r="P152" s="6">
        <v>13435</v>
      </c>
      <c r="Q152" s="6">
        <v>0</v>
      </c>
      <c r="R152" s="6">
        <v>21827</v>
      </c>
      <c r="S152" s="6">
        <v>24000</v>
      </c>
      <c r="T152" s="6">
        <v>171434</v>
      </c>
      <c r="U152" s="6">
        <v>93294</v>
      </c>
      <c r="V152" s="6">
        <v>78140</v>
      </c>
    </row>
    <row r="153" spans="1:22" x14ac:dyDescent="0.25">
      <c r="A153">
        <v>2026</v>
      </c>
      <c r="B153" s="1" t="s">
        <v>19</v>
      </c>
      <c r="C153" t="s">
        <v>54</v>
      </c>
      <c r="D153" s="1" t="s">
        <v>555</v>
      </c>
      <c r="E153" t="s">
        <v>230</v>
      </c>
      <c r="F153" s="6">
        <v>193682</v>
      </c>
      <c r="G153" s="6">
        <v>150285</v>
      </c>
      <c r="H153" s="6">
        <v>32188</v>
      </c>
      <c r="I153" s="6">
        <v>118097</v>
      </c>
      <c r="J153" s="6">
        <v>43397</v>
      </c>
      <c r="K153">
        <v>0</v>
      </c>
      <c r="L153" s="6">
        <v>161494</v>
      </c>
      <c r="M153">
        <v>282</v>
      </c>
      <c r="N153">
        <v>81</v>
      </c>
      <c r="O153">
        <v>363</v>
      </c>
      <c r="P153" s="6">
        <v>19532</v>
      </c>
      <c r="Q153" s="6">
        <v>0</v>
      </c>
      <c r="R153" s="6">
        <v>30546</v>
      </c>
      <c r="S153" s="6">
        <v>34192</v>
      </c>
      <c r="T153" s="6">
        <v>246127</v>
      </c>
      <c r="U153" s="6">
        <v>137910</v>
      </c>
      <c r="V153" s="6">
        <v>108217</v>
      </c>
    </row>
    <row r="154" spans="1:22" x14ac:dyDescent="0.25">
      <c r="A154">
        <v>2026</v>
      </c>
      <c r="B154" s="1" t="s">
        <v>18</v>
      </c>
      <c r="C154" t="s">
        <v>53</v>
      </c>
      <c r="D154" s="1" t="s">
        <v>556</v>
      </c>
      <c r="E154" t="s">
        <v>231</v>
      </c>
      <c r="F154" s="6">
        <v>671117</v>
      </c>
      <c r="G154" s="6">
        <v>543096</v>
      </c>
      <c r="H154" s="6">
        <v>116323</v>
      </c>
      <c r="I154" s="6">
        <v>426773</v>
      </c>
      <c r="J154" s="6">
        <v>128021</v>
      </c>
      <c r="K154">
        <v>0</v>
      </c>
      <c r="L154" s="6">
        <v>554794</v>
      </c>
      <c r="M154">
        <v>0</v>
      </c>
      <c r="N154">
        <v>0</v>
      </c>
      <c r="O154">
        <v>0</v>
      </c>
      <c r="P154" s="6">
        <v>57674</v>
      </c>
      <c r="Q154" s="6">
        <v>0</v>
      </c>
      <c r="R154" s="6">
        <v>112402</v>
      </c>
      <c r="S154" s="6">
        <v>123528</v>
      </c>
      <c r="T154" s="6">
        <v>848398</v>
      </c>
      <c r="U154" s="6">
        <v>484447</v>
      </c>
      <c r="V154" s="6">
        <v>363951</v>
      </c>
    </row>
    <row r="155" spans="1:22" x14ac:dyDescent="0.25">
      <c r="A155">
        <v>2026</v>
      </c>
      <c r="B155" s="1" t="s">
        <v>15</v>
      </c>
      <c r="C155" t="s">
        <v>50</v>
      </c>
      <c r="D155" s="1" t="s">
        <v>557</v>
      </c>
      <c r="E155" t="s">
        <v>232</v>
      </c>
      <c r="F155" s="6">
        <v>222686</v>
      </c>
      <c r="G155" s="6">
        <v>174388</v>
      </c>
      <c r="H155" s="6">
        <v>37351</v>
      </c>
      <c r="I155" s="6">
        <v>137037</v>
      </c>
      <c r="J155" s="6">
        <v>48298</v>
      </c>
      <c r="K155">
        <v>0</v>
      </c>
      <c r="L155" s="6">
        <v>185335</v>
      </c>
      <c r="M155">
        <v>213</v>
      </c>
      <c r="N155">
        <v>58</v>
      </c>
      <c r="O155">
        <v>271</v>
      </c>
      <c r="P155" s="6">
        <v>27333</v>
      </c>
      <c r="Q155" s="6">
        <v>0</v>
      </c>
      <c r="R155" s="6">
        <v>36236</v>
      </c>
      <c r="S155" s="6">
        <v>40393</v>
      </c>
      <c r="T155" s="6">
        <v>289568</v>
      </c>
      <c r="U155" s="6">
        <v>164582</v>
      </c>
      <c r="V155" s="6">
        <v>124986</v>
      </c>
    </row>
    <row r="156" spans="1:22" x14ac:dyDescent="0.25">
      <c r="A156">
        <v>2026</v>
      </c>
      <c r="B156" s="1" t="s">
        <v>20</v>
      </c>
      <c r="C156" t="s">
        <v>55</v>
      </c>
      <c r="D156" s="1" t="s">
        <v>558</v>
      </c>
      <c r="E156" t="s">
        <v>233</v>
      </c>
      <c r="F156" s="6">
        <v>117926</v>
      </c>
      <c r="G156" s="6">
        <v>93227</v>
      </c>
      <c r="H156" s="6">
        <v>19968</v>
      </c>
      <c r="I156" s="6">
        <v>73259</v>
      </c>
      <c r="J156" s="6">
        <v>24699</v>
      </c>
      <c r="K156" s="6">
        <v>13292</v>
      </c>
      <c r="L156" s="6">
        <v>111250</v>
      </c>
      <c r="M156">
        <v>190</v>
      </c>
      <c r="N156">
        <v>51</v>
      </c>
      <c r="O156">
        <v>241</v>
      </c>
      <c r="P156" s="6">
        <v>12109</v>
      </c>
      <c r="Q156" s="6">
        <v>0</v>
      </c>
      <c r="R156" s="6">
        <v>18847</v>
      </c>
      <c r="S156" s="6">
        <v>20839</v>
      </c>
      <c r="T156" s="6">
        <v>163286</v>
      </c>
      <c r="U156" s="6">
        <v>85559</v>
      </c>
      <c r="V156" s="6">
        <v>77727</v>
      </c>
    </row>
    <row r="157" spans="1:22" x14ac:dyDescent="0.25">
      <c r="A157">
        <v>2026</v>
      </c>
      <c r="B157" s="1" t="s">
        <v>14</v>
      </c>
      <c r="C157" t="s">
        <v>49</v>
      </c>
      <c r="D157" s="1" t="s">
        <v>559</v>
      </c>
      <c r="E157" t="s">
        <v>234</v>
      </c>
      <c r="F157" s="6">
        <v>129983</v>
      </c>
      <c r="G157" s="6">
        <v>99912</v>
      </c>
      <c r="H157" s="6">
        <v>21399</v>
      </c>
      <c r="I157" s="6">
        <v>78513</v>
      </c>
      <c r="J157" s="6">
        <v>30071</v>
      </c>
      <c r="K157" s="6">
        <v>3808</v>
      </c>
      <c r="L157" s="6">
        <v>112392</v>
      </c>
      <c r="M157">
        <v>0</v>
      </c>
      <c r="N157">
        <v>0</v>
      </c>
      <c r="O157">
        <v>0</v>
      </c>
      <c r="P157" s="6">
        <v>14164</v>
      </c>
      <c r="Q157" s="6">
        <v>0</v>
      </c>
      <c r="R157" s="6">
        <v>20713</v>
      </c>
      <c r="S157" s="6">
        <v>23192</v>
      </c>
      <c r="T157" s="6">
        <v>170461</v>
      </c>
      <c r="U157" s="6">
        <v>92677</v>
      </c>
      <c r="V157" s="6">
        <v>77784</v>
      </c>
    </row>
    <row r="158" spans="1:22" x14ac:dyDescent="0.25">
      <c r="A158">
        <v>2026</v>
      </c>
      <c r="B158" s="1" t="s">
        <v>19</v>
      </c>
      <c r="C158" t="s">
        <v>54</v>
      </c>
      <c r="D158" s="1" t="s">
        <v>560</v>
      </c>
      <c r="E158" t="s">
        <v>235</v>
      </c>
      <c r="F158" s="6">
        <v>237334</v>
      </c>
      <c r="G158" s="6">
        <v>184155</v>
      </c>
      <c r="H158" s="6">
        <v>39443</v>
      </c>
      <c r="I158" s="6">
        <v>144712</v>
      </c>
      <c r="J158" s="6">
        <v>53179</v>
      </c>
      <c r="K158">
        <v>0</v>
      </c>
      <c r="L158" s="6">
        <v>197891</v>
      </c>
      <c r="M158">
        <v>345</v>
      </c>
      <c r="N158">
        <v>100</v>
      </c>
      <c r="O158">
        <v>445</v>
      </c>
      <c r="P158" s="6">
        <v>23934</v>
      </c>
      <c r="Q158" s="6">
        <v>0</v>
      </c>
      <c r="R158" s="6">
        <v>40728</v>
      </c>
      <c r="S158" s="6">
        <v>45589</v>
      </c>
      <c r="T158" s="6">
        <v>308587</v>
      </c>
      <c r="U158" s="6">
        <v>168991</v>
      </c>
      <c r="V158" s="6">
        <v>139596</v>
      </c>
    </row>
    <row r="159" spans="1:22" x14ac:dyDescent="0.25">
      <c r="A159">
        <v>2026</v>
      </c>
      <c r="B159" s="1" t="s">
        <v>19</v>
      </c>
      <c r="C159" t="s">
        <v>54</v>
      </c>
      <c r="D159" s="1" t="s">
        <v>561</v>
      </c>
      <c r="E159" t="s">
        <v>236</v>
      </c>
      <c r="F159" s="6">
        <v>883388</v>
      </c>
      <c r="G159" s="6">
        <v>685452</v>
      </c>
      <c r="H159" s="6">
        <v>146813</v>
      </c>
      <c r="I159" s="6">
        <v>538639</v>
      </c>
      <c r="J159" s="6">
        <v>197936</v>
      </c>
      <c r="K159">
        <v>0</v>
      </c>
      <c r="L159" s="6">
        <v>736575</v>
      </c>
      <c r="M159" s="6">
        <v>1286</v>
      </c>
      <c r="N159">
        <v>372</v>
      </c>
      <c r="O159" s="6">
        <v>1658</v>
      </c>
      <c r="P159" s="6">
        <v>89084</v>
      </c>
      <c r="Q159" s="6">
        <v>0</v>
      </c>
      <c r="R159" s="6">
        <v>173292</v>
      </c>
      <c r="S159" s="6">
        <v>193974</v>
      </c>
      <c r="T159" s="6">
        <v>1194583</v>
      </c>
      <c r="U159" s="6">
        <v>629009</v>
      </c>
      <c r="V159" s="6">
        <v>565574</v>
      </c>
    </row>
    <row r="160" spans="1:22" x14ac:dyDescent="0.25">
      <c r="A160">
        <v>2026</v>
      </c>
      <c r="B160" s="1" t="s">
        <v>20</v>
      </c>
      <c r="C160" t="s">
        <v>55</v>
      </c>
      <c r="D160" s="1" t="s">
        <v>562</v>
      </c>
      <c r="E160" t="s">
        <v>237</v>
      </c>
      <c r="F160" s="6">
        <v>173886</v>
      </c>
      <c r="G160" s="6">
        <v>137467</v>
      </c>
      <c r="H160" s="6">
        <v>29444</v>
      </c>
      <c r="I160" s="6">
        <v>108023</v>
      </c>
      <c r="J160" s="6">
        <v>36419</v>
      </c>
      <c r="K160">
        <v>718</v>
      </c>
      <c r="L160" s="6">
        <v>145160</v>
      </c>
      <c r="M160">
        <v>282</v>
      </c>
      <c r="N160">
        <v>74</v>
      </c>
      <c r="O160">
        <v>356</v>
      </c>
      <c r="P160" s="6">
        <v>17931</v>
      </c>
      <c r="Q160" s="6">
        <v>0</v>
      </c>
      <c r="R160" s="6">
        <v>29440</v>
      </c>
      <c r="S160" s="6">
        <v>32553</v>
      </c>
      <c r="T160" s="6">
        <v>225440</v>
      </c>
      <c r="U160" s="6">
        <v>126236</v>
      </c>
      <c r="V160" s="6">
        <v>99204</v>
      </c>
    </row>
    <row r="161" spans="1:22" x14ac:dyDescent="0.25">
      <c r="A161">
        <v>2026</v>
      </c>
      <c r="B161" s="1" t="s">
        <v>20</v>
      </c>
      <c r="C161" t="s">
        <v>55</v>
      </c>
      <c r="D161" s="1" t="s">
        <v>563</v>
      </c>
      <c r="E161" t="s">
        <v>238</v>
      </c>
      <c r="F161" s="6">
        <v>1057676</v>
      </c>
      <c r="G161" s="6">
        <v>836156</v>
      </c>
      <c r="H161" s="6">
        <v>179091</v>
      </c>
      <c r="I161" s="6">
        <v>657065</v>
      </c>
      <c r="J161" s="6">
        <v>221520</v>
      </c>
      <c r="K161">
        <v>106</v>
      </c>
      <c r="L161" s="6">
        <v>878691</v>
      </c>
      <c r="M161" s="6">
        <v>1708</v>
      </c>
      <c r="N161">
        <v>453</v>
      </c>
      <c r="O161" s="6">
        <v>2161</v>
      </c>
      <c r="P161" s="6">
        <v>108628</v>
      </c>
      <c r="Q161" s="6">
        <v>0</v>
      </c>
      <c r="R161" s="6">
        <v>186261</v>
      </c>
      <c r="S161" s="6">
        <v>205951</v>
      </c>
      <c r="T161" s="6">
        <v>1381692</v>
      </c>
      <c r="U161" s="6">
        <v>767401</v>
      </c>
      <c r="V161" s="6">
        <v>614291</v>
      </c>
    </row>
    <row r="162" spans="1:22" x14ac:dyDescent="0.25">
      <c r="A162">
        <v>2026</v>
      </c>
      <c r="B162" s="1" t="s">
        <v>17</v>
      </c>
      <c r="C162" t="s">
        <v>52</v>
      </c>
      <c r="D162" s="1" t="s">
        <v>564</v>
      </c>
      <c r="E162" t="s">
        <v>239</v>
      </c>
      <c r="F162" s="6">
        <v>2893962</v>
      </c>
      <c r="G162" s="6">
        <v>2294156</v>
      </c>
      <c r="H162" s="6">
        <v>491371</v>
      </c>
      <c r="I162" s="6">
        <v>1802785</v>
      </c>
      <c r="J162" s="6">
        <v>599806</v>
      </c>
      <c r="K162">
        <v>0</v>
      </c>
      <c r="L162" s="6">
        <v>2402591</v>
      </c>
      <c r="M162" s="6">
        <v>2550</v>
      </c>
      <c r="N162">
        <v>667</v>
      </c>
      <c r="O162" s="6">
        <v>3217</v>
      </c>
      <c r="P162" s="6">
        <v>274966</v>
      </c>
      <c r="Q162" s="6">
        <v>0</v>
      </c>
      <c r="R162" s="6">
        <v>530887</v>
      </c>
      <c r="S162" s="6">
        <v>583828</v>
      </c>
      <c r="T162" s="6">
        <v>3795489</v>
      </c>
      <c r="U162" s="6">
        <v>2080301</v>
      </c>
      <c r="V162" s="6">
        <v>1715188</v>
      </c>
    </row>
    <row r="163" spans="1:22" x14ac:dyDescent="0.25">
      <c r="A163">
        <v>2026</v>
      </c>
      <c r="B163" s="1" t="s">
        <v>17</v>
      </c>
      <c r="C163" t="s">
        <v>52</v>
      </c>
      <c r="D163" s="1" t="s">
        <v>565</v>
      </c>
      <c r="E163" t="s">
        <v>240</v>
      </c>
      <c r="F163" s="6">
        <v>262631</v>
      </c>
      <c r="G163" s="6">
        <v>208198</v>
      </c>
      <c r="H163" s="6">
        <v>44593</v>
      </c>
      <c r="I163" s="6">
        <v>163605</v>
      </c>
      <c r="J163" s="6">
        <v>54433</v>
      </c>
      <c r="K163">
        <v>0</v>
      </c>
      <c r="L163" s="6">
        <v>218038</v>
      </c>
      <c r="M163">
        <v>232</v>
      </c>
      <c r="N163">
        <v>60</v>
      </c>
      <c r="O163">
        <v>292</v>
      </c>
      <c r="P163" s="6">
        <v>24954</v>
      </c>
      <c r="Q163" s="6">
        <v>0</v>
      </c>
      <c r="R163" s="6">
        <v>44576</v>
      </c>
      <c r="S163" s="6">
        <v>49022</v>
      </c>
      <c r="T163" s="6">
        <v>336882</v>
      </c>
      <c r="U163" s="6">
        <v>188791</v>
      </c>
      <c r="V163" s="6">
        <v>148091</v>
      </c>
    </row>
    <row r="164" spans="1:22" x14ac:dyDescent="0.25">
      <c r="A164">
        <v>2026</v>
      </c>
      <c r="B164" s="1" t="s">
        <v>20</v>
      </c>
      <c r="C164" t="s">
        <v>55</v>
      </c>
      <c r="D164" s="1" t="s">
        <v>566</v>
      </c>
      <c r="E164" t="s">
        <v>241</v>
      </c>
      <c r="F164" s="6">
        <v>224261</v>
      </c>
      <c r="G164" s="6">
        <v>177291</v>
      </c>
      <c r="H164" s="6">
        <v>37973</v>
      </c>
      <c r="I164" s="6">
        <v>139318</v>
      </c>
      <c r="J164" s="6">
        <v>46970</v>
      </c>
      <c r="K164">
        <v>0</v>
      </c>
      <c r="L164" s="6">
        <v>186288</v>
      </c>
      <c r="M164">
        <v>362</v>
      </c>
      <c r="N164">
        <v>95</v>
      </c>
      <c r="O164">
        <v>457</v>
      </c>
      <c r="P164" s="6">
        <v>23029</v>
      </c>
      <c r="Q164" s="6">
        <v>0</v>
      </c>
      <c r="R164" s="6">
        <v>38214</v>
      </c>
      <c r="S164" s="6">
        <v>42254</v>
      </c>
      <c r="T164" s="6">
        <v>290242</v>
      </c>
      <c r="U164" s="6">
        <v>162709</v>
      </c>
      <c r="V164" s="6">
        <v>127533</v>
      </c>
    </row>
    <row r="165" spans="1:22" x14ac:dyDescent="0.25">
      <c r="A165">
        <v>2026</v>
      </c>
      <c r="B165" s="1" t="s">
        <v>17</v>
      </c>
      <c r="C165" t="s">
        <v>52</v>
      </c>
      <c r="D165" s="1" t="s">
        <v>567</v>
      </c>
      <c r="E165" t="s">
        <v>242</v>
      </c>
      <c r="F165" s="6">
        <v>112383</v>
      </c>
      <c r="G165" s="6">
        <v>89090</v>
      </c>
      <c r="H165" s="6">
        <v>19081</v>
      </c>
      <c r="I165" s="6">
        <v>70009</v>
      </c>
      <c r="J165" s="6">
        <v>23293</v>
      </c>
      <c r="K165" s="6">
        <v>16215</v>
      </c>
      <c r="L165" s="6">
        <v>109517</v>
      </c>
      <c r="M165">
        <v>102</v>
      </c>
      <c r="N165">
        <v>27</v>
      </c>
      <c r="O165">
        <v>129</v>
      </c>
      <c r="P165" s="6">
        <v>10678</v>
      </c>
      <c r="Q165" s="6">
        <v>0</v>
      </c>
      <c r="R165" s="6">
        <v>20014</v>
      </c>
      <c r="S165" s="6">
        <v>22010</v>
      </c>
      <c r="T165" s="6">
        <v>162348</v>
      </c>
      <c r="U165" s="6">
        <v>80789</v>
      </c>
      <c r="V165" s="6">
        <v>81559</v>
      </c>
    </row>
    <row r="166" spans="1:22" x14ac:dyDescent="0.25">
      <c r="A166">
        <v>2026</v>
      </c>
      <c r="B166" s="1" t="s">
        <v>16</v>
      </c>
      <c r="C166" t="s">
        <v>51</v>
      </c>
      <c r="D166" s="1" t="s">
        <v>568</v>
      </c>
      <c r="E166" t="s">
        <v>243</v>
      </c>
      <c r="F166" s="6">
        <v>264597</v>
      </c>
      <c r="G166" s="6">
        <v>208606</v>
      </c>
      <c r="H166" s="6">
        <v>44680</v>
      </c>
      <c r="I166" s="6">
        <v>163926</v>
      </c>
      <c r="J166" s="6">
        <v>55991</v>
      </c>
      <c r="K166">
        <v>0</v>
      </c>
      <c r="L166" s="6">
        <v>219917</v>
      </c>
      <c r="M166">
        <v>353</v>
      </c>
      <c r="N166">
        <v>95</v>
      </c>
      <c r="O166">
        <v>448</v>
      </c>
      <c r="P166" s="6">
        <v>24436</v>
      </c>
      <c r="Q166" s="6">
        <v>0</v>
      </c>
      <c r="R166" s="6">
        <v>43546</v>
      </c>
      <c r="S166" s="6">
        <v>47618</v>
      </c>
      <c r="T166" s="6">
        <v>335965</v>
      </c>
      <c r="U166" s="6">
        <v>188716</v>
      </c>
      <c r="V166" s="6">
        <v>147249</v>
      </c>
    </row>
    <row r="167" spans="1:22" x14ac:dyDescent="0.25">
      <c r="A167">
        <v>2026</v>
      </c>
      <c r="B167" s="1" t="s">
        <v>18</v>
      </c>
      <c r="C167" t="s">
        <v>53</v>
      </c>
      <c r="D167" s="1" t="s">
        <v>569</v>
      </c>
      <c r="E167" t="s">
        <v>244</v>
      </c>
      <c r="F167" s="6">
        <v>164800</v>
      </c>
      <c r="G167" s="6">
        <v>133363</v>
      </c>
      <c r="H167" s="6">
        <v>28565</v>
      </c>
      <c r="I167" s="6">
        <v>104798</v>
      </c>
      <c r="J167" s="6">
        <v>31437</v>
      </c>
      <c r="K167">
        <v>903</v>
      </c>
      <c r="L167" s="6">
        <v>137138</v>
      </c>
      <c r="M167">
        <v>0</v>
      </c>
      <c r="N167">
        <v>0</v>
      </c>
      <c r="O167">
        <v>0</v>
      </c>
      <c r="P167" s="6">
        <v>14185</v>
      </c>
      <c r="Q167" s="6">
        <v>0</v>
      </c>
      <c r="R167" s="6">
        <v>31717</v>
      </c>
      <c r="S167" s="6">
        <v>34856</v>
      </c>
      <c r="T167" s="6">
        <v>217896</v>
      </c>
      <c r="U167" s="6">
        <v>118983</v>
      </c>
      <c r="V167" s="6">
        <v>98913</v>
      </c>
    </row>
    <row r="168" spans="1:22" x14ac:dyDescent="0.25">
      <c r="A168">
        <v>2026</v>
      </c>
      <c r="B168" s="1" t="s">
        <v>18</v>
      </c>
      <c r="C168" t="s">
        <v>53</v>
      </c>
      <c r="D168" s="1" t="s">
        <v>570</v>
      </c>
      <c r="E168" t="s">
        <v>245</v>
      </c>
      <c r="F168" s="6">
        <v>236276</v>
      </c>
      <c r="G168" s="6">
        <v>191205</v>
      </c>
      <c r="H168" s="6">
        <v>40953</v>
      </c>
      <c r="I168" s="6">
        <v>150252</v>
      </c>
      <c r="J168" s="6">
        <v>45071</v>
      </c>
      <c r="K168" s="6">
        <v>9532</v>
      </c>
      <c r="L168" s="6">
        <v>204855</v>
      </c>
      <c r="M168">
        <v>0</v>
      </c>
      <c r="N168">
        <v>0</v>
      </c>
      <c r="O168">
        <v>0</v>
      </c>
      <c r="P168" s="6">
        <v>20787</v>
      </c>
      <c r="Q168" s="6">
        <v>0</v>
      </c>
      <c r="R168" s="6">
        <v>40278</v>
      </c>
      <c r="S168" s="6">
        <v>44265</v>
      </c>
      <c r="T168" s="6">
        <v>310185</v>
      </c>
      <c r="U168" s="6">
        <v>171039</v>
      </c>
      <c r="V168" s="6">
        <v>139146</v>
      </c>
    </row>
    <row r="169" spans="1:22" x14ac:dyDescent="0.25">
      <c r="A169">
        <v>2026</v>
      </c>
      <c r="B169" s="1" t="s">
        <v>14</v>
      </c>
      <c r="C169" t="s">
        <v>49</v>
      </c>
      <c r="D169" s="1" t="s">
        <v>571</v>
      </c>
      <c r="E169" t="s">
        <v>246</v>
      </c>
      <c r="F169" s="6">
        <v>260021</v>
      </c>
      <c r="G169" s="6">
        <v>199865</v>
      </c>
      <c r="H169" s="6">
        <v>42808</v>
      </c>
      <c r="I169" s="6">
        <v>157057</v>
      </c>
      <c r="J169" s="6">
        <v>60156</v>
      </c>
      <c r="K169">
        <v>0</v>
      </c>
      <c r="L169" s="6">
        <v>217213</v>
      </c>
      <c r="M169">
        <v>0</v>
      </c>
      <c r="N169">
        <v>0</v>
      </c>
      <c r="O169">
        <v>0</v>
      </c>
      <c r="P169" s="6">
        <v>27510</v>
      </c>
      <c r="Q169" s="6">
        <v>0</v>
      </c>
      <c r="R169" s="6">
        <v>48221</v>
      </c>
      <c r="S169" s="6">
        <v>53992</v>
      </c>
      <c r="T169" s="6">
        <v>346936</v>
      </c>
      <c r="U169" s="6">
        <v>184567</v>
      </c>
      <c r="V169" s="6">
        <v>162369</v>
      </c>
    </row>
    <row r="170" spans="1:22" x14ac:dyDescent="0.25">
      <c r="A170">
        <v>2026</v>
      </c>
      <c r="B170" s="1" t="s">
        <v>19</v>
      </c>
      <c r="C170" t="s">
        <v>54</v>
      </c>
      <c r="D170" s="1" t="s">
        <v>572</v>
      </c>
      <c r="E170" t="s">
        <v>247</v>
      </c>
      <c r="F170" s="6">
        <v>222277</v>
      </c>
      <c r="G170" s="6">
        <v>172472</v>
      </c>
      <c r="H170" s="6">
        <v>36941</v>
      </c>
      <c r="I170" s="6">
        <v>135531</v>
      </c>
      <c r="J170" s="6">
        <v>49805</v>
      </c>
      <c r="K170" s="6">
        <v>13100</v>
      </c>
      <c r="L170" s="6">
        <v>198436</v>
      </c>
      <c r="M170">
        <v>323</v>
      </c>
      <c r="N170">
        <v>93</v>
      </c>
      <c r="O170">
        <v>416</v>
      </c>
      <c r="P170" s="6">
        <v>22583</v>
      </c>
      <c r="Q170" s="6">
        <v>0</v>
      </c>
      <c r="R170" s="6">
        <v>38966</v>
      </c>
      <c r="S170" s="6">
        <v>43617</v>
      </c>
      <c r="T170" s="6">
        <v>304018</v>
      </c>
      <c r="U170" s="6">
        <v>158437</v>
      </c>
      <c r="V170" s="6">
        <v>145581</v>
      </c>
    </row>
    <row r="171" spans="1:22" x14ac:dyDescent="0.25">
      <c r="A171">
        <v>2026</v>
      </c>
      <c r="B171" s="1" t="s">
        <v>16</v>
      </c>
      <c r="C171" t="s">
        <v>51</v>
      </c>
      <c r="D171" s="1" t="s">
        <v>573</v>
      </c>
      <c r="E171" t="s">
        <v>248</v>
      </c>
      <c r="F171" s="6">
        <v>514320</v>
      </c>
      <c r="G171" s="6">
        <v>405485</v>
      </c>
      <c r="H171" s="6">
        <v>86849</v>
      </c>
      <c r="I171" s="6">
        <v>318636</v>
      </c>
      <c r="J171" s="6">
        <v>108835</v>
      </c>
      <c r="K171" s="6">
        <v>1353</v>
      </c>
      <c r="L171" s="6">
        <v>428824</v>
      </c>
      <c r="M171">
        <v>687</v>
      </c>
      <c r="N171">
        <v>185</v>
      </c>
      <c r="O171">
        <v>872</v>
      </c>
      <c r="P171" s="6">
        <v>47520</v>
      </c>
      <c r="Q171" s="6">
        <v>0</v>
      </c>
      <c r="R171" s="6">
        <v>87156</v>
      </c>
      <c r="S171" s="6">
        <v>95307</v>
      </c>
      <c r="T171" s="6">
        <v>659679</v>
      </c>
      <c r="U171" s="6">
        <v>366844</v>
      </c>
      <c r="V171" s="6">
        <v>292835</v>
      </c>
    </row>
    <row r="172" spans="1:22" x14ac:dyDescent="0.25">
      <c r="A172">
        <v>2026</v>
      </c>
      <c r="B172" s="1" t="s">
        <v>13</v>
      </c>
      <c r="C172" t="s">
        <v>48</v>
      </c>
      <c r="D172" s="1" t="s">
        <v>574</v>
      </c>
      <c r="E172" t="s">
        <v>249</v>
      </c>
      <c r="F172" s="6">
        <v>272319</v>
      </c>
      <c r="G172" s="6">
        <v>206870</v>
      </c>
      <c r="H172" s="6">
        <v>44308</v>
      </c>
      <c r="I172" s="6">
        <v>162562</v>
      </c>
      <c r="J172" s="6">
        <v>65449</v>
      </c>
      <c r="K172">
        <v>0</v>
      </c>
      <c r="L172" s="6">
        <v>228011</v>
      </c>
      <c r="M172">
        <v>535</v>
      </c>
      <c r="N172">
        <v>170</v>
      </c>
      <c r="O172">
        <v>705</v>
      </c>
      <c r="P172" s="6">
        <v>27006</v>
      </c>
      <c r="Q172" s="6">
        <v>0</v>
      </c>
      <c r="R172" s="6">
        <v>46465</v>
      </c>
      <c r="S172" s="6">
        <v>51755</v>
      </c>
      <c r="T172" s="6">
        <v>353942</v>
      </c>
      <c r="U172" s="6">
        <v>190104</v>
      </c>
      <c r="V172" s="6">
        <v>163838</v>
      </c>
    </row>
    <row r="173" spans="1:22" x14ac:dyDescent="0.25">
      <c r="A173">
        <v>2026</v>
      </c>
      <c r="B173" s="1" t="s">
        <v>19</v>
      </c>
      <c r="C173" t="s">
        <v>54</v>
      </c>
      <c r="D173" s="1" t="s">
        <v>575</v>
      </c>
      <c r="E173" t="s">
        <v>250</v>
      </c>
      <c r="F173" s="6">
        <v>180735</v>
      </c>
      <c r="G173" s="6">
        <v>140238</v>
      </c>
      <c r="H173" s="6">
        <v>30037</v>
      </c>
      <c r="I173" s="6">
        <v>110201</v>
      </c>
      <c r="J173" s="6">
        <v>40497</v>
      </c>
      <c r="K173" s="6">
        <v>2737</v>
      </c>
      <c r="L173" s="6">
        <v>153435</v>
      </c>
      <c r="M173">
        <v>262</v>
      </c>
      <c r="N173">
        <v>76</v>
      </c>
      <c r="O173">
        <v>338</v>
      </c>
      <c r="P173" s="6">
        <v>18497</v>
      </c>
      <c r="Q173" s="6">
        <v>0</v>
      </c>
      <c r="R173" s="6">
        <v>29894</v>
      </c>
      <c r="S173" s="6">
        <v>33461</v>
      </c>
      <c r="T173" s="6">
        <v>235625</v>
      </c>
      <c r="U173" s="6">
        <v>128961</v>
      </c>
      <c r="V173" s="6">
        <v>106664</v>
      </c>
    </row>
    <row r="174" spans="1:22" x14ac:dyDescent="0.25">
      <c r="A174">
        <v>2026</v>
      </c>
      <c r="B174" s="1" t="s">
        <v>17</v>
      </c>
      <c r="C174" t="s">
        <v>52</v>
      </c>
      <c r="D174" s="1" t="s">
        <v>576</v>
      </c>
      <c r="E174" t="s">
        <v>251</v>
      </c>
      <c r="F174" s="6">
        <v>692706</v>
      </c>
      <c r="G174" s="6">
        <v>549135</v>
      </c>
      <c r="H174" s="6">
        <v>117616</v>
      </c>
      <c r="I174" s="6">
        <v>431519</v>
      </c>
      <c r="J174" s="6">
        <v>143571</v>
      </c>
      <c r="K174">
        <v>593</v>
      </c>
      <c r="L174" s="6">
        <v>575683</v>
      </c>
      <c r="M174">
        <v>610</v>
      </c>
      <c r="N174">
        <v>159</v>
      </c>
      <c r="O174">
        <v>769</v>
      </c>
      <c r="P174" s="6">
        <v>65817</v>
      </c>
      <c r="Q174" s="6">
        <v>0</v>
      </c>
      <c r="R174" s="6">
        <v>117874</v>
      </c>
      <c r="S174" s="6">
        <v>129628</v>
      </c>
      <c r="T174" s="6">
        <v>889771</v>
      </c>
      <c r="U174" s="6">
        <v>497946</v>
      </c>
      <c r="V174" s="6">
        <v>391825</v>
      </c>
    </row>
    <row r="175" spans="1:22" x14ac:dyDescent="0.25">
      <c r="A175">
        <v>2026</v>
      </c>
      <c r="B175" s="1" t="s">
        <v>15</v>
      </c>
      <c r="C175" t="s">
        <v>50</v>
      </c>
      <c r="D175" s="1" t="s">
        <v>577</v>
      </c>
      <c r="E175" t="s">
        <v>252</v>
      </c>
      <c r="F175" s="6">
        <v>2172609</v>
      </c>
      <c r="G175" s="6">
        <v>1701396</v>
      </c>
      <c r="H175" s="6">
        <v>364412</v>
      </c>
      <c r="I175" s="6">
        <v>1336984</v>
      </c>
      <c r="J175" s="6">
        <v>471213</v>
      </c>
      <c r="K175">
        <v>0</v>
      </c>
      <c r="L175" s="6">
        <v>1808197</v>
      </c>
      <c r="M175" s="6">
        <v>2078</v>
      </c>
      <c r="N175">
        <v>576</v>
      </c>
      <c r="O175" s="6">
        <v>2654</v>
      </c>
      <c r="P175" s="6">
        <v>266675</v>
      </c>
      <c r="Q175" s="6">
        <v>0</v>
      </c>
      <c r="R175" s="6">
        <v>370260</v>
      </c>
      <c r="S175" s="6">
        <v>412735</v>
      </c>
      <c r="T175" s="6">
        <v>2860521</v>
      </c>
      <c r="U175" s="6">
        <v>1605738</v>
      </c>
      <c r="V175" s="6">
        <v>1254783</v>
      </c>
    </row>
    <row r="176" spans="1:22" x14ac:dyDescent="0.25">
      <c r="A176">
        <v>2026</v>
      </c>
      <c r="B176" s="1" t="s">
        <v>18</v>
      </c>
      <c r="C176" t="s">
        <v>53</v>
      </c>
      <c r="D176" s="1" t="s">
        <v>578</v>
      </c>
      <c r="E176" t="s">
        <v>253</v>
      </c>
      <c r="F176" s="6">
        <v>179841</v>
      </c>
      <c r="G176" s="6">
        <v>145535</v>
      </c>
      <c r="H176" s="6">
        <v>31171</v>
      </c>
      <c r="I176" s="6">
        <v>114364</v>
      </c>
      <c r="J176" s="6">
        <v>34306</v>
      </c>
      <c r="K176">
        <v>691</v>
      </c>
      <c r="L176" s="6">
        <v>149361</v>
      </c>
      <c r="M176">
        <v>0</v>
      </c>
      <c r="N176">
        <v>0</v>
      </c>
      <c r="O176">
        <v>0</v>
      </c>
      <c r="P176" s="6">
        <v>15455</v>
      </c>
      <c r="Q176" s="6">
        <v>0</v>
      </c>
      <c r="R176" s="6">
        <v>32300</v>
      </c>
      <c r="S176" s="6">
        <v>35497</v>
      </c>
      <c r="T176" s="6">
        <v>232613</v>
      </c>
      <c r="U176" s="6">
        <v>129819</v>
      </c>
      <c r="V176" s="6">
        <v>102794</v>
      </c>
    </row>
    <row r="177" spans="1:22" x14ac:dyDescent="0.25">
      <c r="A177">
        <v>2026</v>
      </c>
      <c r="B177" s="1" t="s">
        <v>15</v>
      </c>
      <c r="C177" t="s">
        <v>50</v>
      </c>
      <c r="D177" s="1" t="s">
        <v>579</v>
      </c>
      <c r="E177" t="s">
        <v>254</v>
      </c>
      <c r="F177" s="6">
        <v>1371837</v>
      </c>
      <c r="G177" s="6">
        <v>1074302</v>
      </c>
      <c r="H177" s="6">
        <v>230099</v>
      </c>
      <c r="I177" s="6">
        <v>844203</v>
      </c>
      <c r="J177" s="6">
        <v>297535</v>
      </c>
      <c r="K177" s="6">
        <v>4861</v>
      </c>
      <c r="L177" s="6">
        <v>1146599</v>
      </c>
      <c r="M177" s="6">
        <v>1314</v>
      </c>
      <c r="N177">
        <v>364</v>
      </c>
      <c r="O177" s="6">
        <v>1678</v>
      </c>
      <c r="P177" s="6">
        <v>169538</v>
      </c>
      <c r="Q177" s="6">
        <v>0</v>
      </c>
      <c r="R177" s="6">
        <v>251628</v>
      </c>
      <c r="S177" s="6">
        <v>280494</v>
      </c>
      <c r="T177" s="6">
        <v>1849937</v>
      </c>
      <c r="U177" s="6">
        <v>1015055</v>
      </c>
      <c r="V177" s="6">
        <v>834882</v>
      </c>
    </row>
    <row r="178" spans="1:22" x14ac:dyDescent="0.25">
      <c r="A178">
        <v>2026</v>
      </c>
      <c r="B178" s="1" t="s">
        <v>21</v>
      </c>
      <c r="C178" t="s">
        <v>56</v>
      </c>
      <c r="D178" s="1" t="s">
        <v>580</v>
      </c>
      <c r="E178" t="s">
        <v>255</v>
      </c>
      <c r="F178" s="6">
        <v>332642</v>
      </c>
      <c r="G178" s="6">
        <v>264977</v>
      </c>
      <c r="H178" s="6">
        <v>56754</v>
      </c>
      <c r="I178" s="6">
        <v>208223</v>
      </c>
      <c r="J178" s="6">
        <v>67665</v>
      </c>
      <c r="K178">
        <v>0</v>
      </c>
      <c r="L178" s="6">
        <v>275888</v>
      </c>
      <c r="M178">
        <v>604</v>
      </c>
      <c r="N178">
        <v>155</v>
      </c>
      <c r="O178">
        <v>759</v>
      </c>
      <c r="P178" s="6">
        <v>33468</v>
      </c>
      <c r="Q178" s="6">
        <v>0</v>
      </c>
      <c r="R178" s="6">
        <v>57035</v>
      </c>
      <c r="S178" s="6">
        <v>62716</v>
      </c>
      <c r="T178" s="6">
        <v>429866</v>
      </c>
      <c r="U178" s="6">
        <v>242295</v>
      </c>
      <c r="V178" s="6">
        <v>187571</v>
      </c>
    </row>
    <row r="179" spans="1:22" x14ac:dyDescent="0.25">
      <c r="A179">
        <v>2026</v>
      </c>
      <c r="B179" s="1" t="s">
        <v>18</v>
      </c>
      <c r="C179" t="s">
        <v>53</v>
      </c>
      <c r="D179" s="1" t="s">
        <v>581</v>
      </c>
      <c r="E179" t="s">
        <v>256</v>
      </c>
      <c r="F179" s="6">
        <v>109999</v>
      </c>
      <c r="G179" s="6">
        <v>89016</v>
      </c>
      <c r="H179" s="6">
        <v>19066</v>
      </c>
      <c r="I179" s="6">
        <v>69950</v>
      </c>
      <c r="J179" s="6">
        <v>20983</v>
      </c>
      <c r="K179" s="6">
        <v>6906</v>
      </c>
      <c r="L179" s="6">
        <v>97839</v>
      </c>
      <c r="M179">
        <v>0</v>
      </c>
      <c r="N179">
        <v>0</v>
      </c>
      <c r="O179">
        <v>0</v>
      </c>
      <c r="P179" s="6">
        <v>9453</v>
      </c>
      <c r="Q179" s="6">
        <v>0</v>
      </c>
      <c r="R179" s="6">
        <v>18745</v>
      </c>
      <c r="S179" s="6">
        <v>20600</v>
      </c>
      <c r="T179" s="6">
        <v>146637</v>
      </c>
      <c r="U179" s="6">
        <v>79403</v>
      </c>
      <c r="V179" s="6">
        <v>67234</v>
      </c>
    </row>
    <row r="180" spans="1:22" x14ac:dyDescent="0.25">
      <c r="A180">
        <v>2026</v>
      </c>
      <c r="B180" s="1" t="s">
        <v>13</v>
      </c>
      <c r="C180" t="s">
        <v>48</v>
      </c>
      <c r="D180" s="1" t="s">
        <v>582</v>
      </c>
      <c r="E180" t="s">
        <v>257</v>
      </c>
      <c r="F180" s="6">
        <v>325342</v>
      </c>
      <c r="G180" s="6">
        <v>247150</v>
      </c>
      <c r="H180" s="6">
        <v>52936</v>
      </c>
      <c r="I180" s="6">
        <v>194214</v>
      </c>
      <c r="J180" s="6">
        <v>78192</v>
      </c>
      <c r="K180">
        <v>570</v>
      </c>
      <c r="L180" s="6">
        <v>272976</v>
      </c>
      <c r="M180">
        <v>640</v>
      </c>
      <c r="N180">
        <v>203</v>
      </c>
      <c r="O180">
        <v>843</v>
      </c>
      <c r="P180" s="6">
        <v>32300</v>
      </c>
      <c r="Q180" s="6">
        <v>0</v>
      </c>
      <c r="R180" s="6">
        <v>52273</v>
      </c>
      <c r="S180" s="6">
        <v>58225</v>
      </c>
      <c r="T180" s="6">
        <v>416617</v>
      </c>
      <c r="U180" s="6">
        <v>227154</v>
      </c>
      <c r="V180" s="6">
        <v>189463</v>
      </c>
    </row>
    <row r="181" spans="1:22" x14ac:dyDescent="0.25">
      <c r="A181">
        <v>2026</v>
      </c>
      <c r="B181" s="1" t="s">
        <v>17</v>
      </c>
      <c r="C181" t="s">
        <v>52</v>
      </c>
      <c r="D181" s="1" t="s">
        <v>583</v>
      </c>
      <c r="E181" t="s">
        <v>258</v>
      </c>
      <c r="F181" s="6">
        <v>450543</v>
      </c>
      <c r="G181" s="6">
        <v>357163</v>
      </c>
      <c r="H181" s="6">
        <v>76499</v>
      </c>
      <c r="I181" s="6">
        <v>280664</v>
      </c>
      <c r="J181" s="6">
        <v>93380</v>
      </c>
      <c r="K181" s="6">
        <v>8270</v>
      </c>
      <c r="L181" s="6">
        <v>382314</v>
      </c>
      <c r="M181">
        <v>397</v>
      </c>
      <c r="N181">
        <v>104</v>
      </c>
      <c r="O181">
        <v>501</v>
      </c>
      <c r="P181" s="6">
        <v>43066</v>
      </c>
      <c r="Q181" s="6">
        <v>0</v>
      </c>
      <c r="R181" s="6">
        <v>85579</v>
      </c>
      <c r="S181" s="6">
        <v>94113</v>
      </c>
      <c r="T181" s="6">
        <v>605573</v>
      </c>
      <c r="U181" s="6">
        <v>324128</v>
      </c>
      <c r="V181" s="6">
        <v>281445</v>
      </c>
    </row>
    <row r="182" spans="1:22" x14ac:dyDescent="0.25">
      <c r="A182">
        <v>2026</v>
      </c>
      <c r="B182" s="1" t="s">
        <v>17</v>
      </c>
      <c r="C182" t="s">
        <v>52</v>
      </c>
      <c r="D182" s="1" t="s">
        <v>584</v>
      </c>
      <c r="E182" t="s">
        <v>259</v>
      </c>
      <c r="F182" s="6">
        <v>198117</v>
      </c>
      <c r="G182" s="6">
        <v>157055</v>
      </c>
      <c r="H182" s="6">
        <v>33639</v>
      </c>
      <c r="I182" s="6">
        <v>123416</v>
      </c>
      <c r="J182" s="6">
        <v>41062</v>
      </c>
      <c r="K182">
        <v>0</v>
      </c>
      <c r="L182" s="6">
        <v>164478</v>
      </c>
      <c r="M182">
        <v>174</v>
      </c>
      <c r="N182">
        <v>45</v>
      </c>
      <c r="O182">
        <v>219</v>
      </c>
      <c r="P182" s="6">
        <v>18824</v>
      </c>
      <c r="Q182" s="6">
        <v>0</v>
      </c>
      <c r="R182" s="6">
        <v>32360</v>
      </c>
      <c r="S182" s="6">
        <v>35587</v>
      </c>
      <c r="T182" s="6">
        <v>251468</v>
      </c>
      <c r="U182" s="6">
        <v>142414</v>
      </c>
      <c r="V182" s="6">
        <v>109054</v>
      </c>
    </row>
    <row r="183" spans="1:22" x14ac:dyDescent="0.25">
      <c r="A183">
        <v>2026</v>
      </c>
      <c r="B183" s="1" t="s">
        <v>20</v>
      </c>
      <c r="C183" t="s">
        <v>55</v>
      </c>
      <c r="D183" s="1" t="s">
        <v>585</v>
      </c>
      <c r="E183" t="s">
        <v>260</v>
      </c>
      <c r="F183" s="6">
        <v>298567</v>
      </c>
      <c r="G183" s="6">
        <v>236035</v>
      </c>
      <c r="H183" s="6">
        <v>50555</v>
      </c>
      <c r="I183" s="6">
        <v>185480</v>
      </c>
      <c r="J183" s="6">
        <v>62532</v>
      </c>
      <c r="K183" s="6">
        <v>0</v>
      </c>
      <c r="L183" s="6">
        <v>248012</v>
      </c>
      <c r="M183">
        <v>483</v>
      </c>
      <c r="N183">
        <v>128</v>
      </c>
      <c r="O183">
        <v>611</v>
      </c>
      <c r="P183" s="6">
        <v>30659</v>
      </c>
      <c r="Q183" s="6">
        <v>0</v>
      </c>
      <c r="R183" s="6">
        <v>48158</v>
      </c>
      <c r="S183" s="6">
        <v>53248</v>
      </c>
      <c r="T183" s="6">
        <v>380688</v>
      </c>
      <c r="U183" s="6">
        <v>216622</v>
      </c>
      <c r="V183" s="6">
        <v>164066</v>
      </c>
    </row>
    <row r="184" spans="1:22" x14ac:dyDescent="0.25">
      <c r="A184">
        <v>2026</v>
      </c>
      <c r="B184" s="1" t="s">
        <v>19</v>
      </c>
      <c r="C184" t="s">
        <v>54</v>
      </c>
      <c r="D184" s="1" t="s">
        <v>586</v>
      </c>
      <c r="E184" t="s">
        <v>261</v>
      </c>
      <c r="F184" s="6">
        <v>620106</v>
      </c>
      <c r="G184" s="6">
        <v>481162</v>
      </c>
      <c r="H184" s="6">
        <v>103057</v>
      </c>
      <c r="I184" s="6">
        <v>378105</v>
      </c>
      <c r="J184" s="6">
        <v>138944</v>
      </c>
      <c r="K184">
        <v>0</v>
      </c>
      <c r="L184" s="6">
        <v>517049</v>
      </c>
      <c r="M184">
        <v>903</v>
      </c>
      <c r="N184">
        <v>260</v>
      </c>
      <c r="O184" s="6">
        <v>1163</v>
      </c>
      <c r="P184" s="6">
        <v>62534</v>
      </c>
      <c r="Q184" s="6">
        <v>0</v>
      </c>
      <c r="R184" s="6">
        <v>135827</v>
      </c>
      <c r="S184" s="6">
        <v>152038</v>
      </c>
      <c r="T184" s="6">
        <v>868611</v>
      </c>
      <c r="U184" s="6">
        <v>441541</v>
      </c>
      <c r="V184" s="6">
        <v>427070</v>
      </c>
    </row>
    <row r="185" spans="1:22" x14ac:dyDescent="0.25">
      <c r="A185">
        <v>2026</v>
      </c>
      <c r="B185" s="1" t="s">
        <v>15</v>
      </c>
      <c r="C185" t="s">
        <v>50</v>
      </c>
      <c r="D185" s="1" t="s">
        <v>587</v>
      </c>
      <c r="E185" t="s">
        <v>262</v>
      </c>
      <c r="F185" s="6">
        <v>176742</v>
      </c>
      <c r="G185" s="6">
        <v>138408</v>
      </c>
      <c r="H185" s="6">
        <v>29645</v>
      </c>
      <c r="I185" s="6">
        <v>108763</v>
      </c>
      <c r="J185" s="6">
        <v>38334</v>
      </c>
      <c r="K185" s="6">
        <v>4637</v>
      </c>
      <c r="L185" s="6">
        <v>151734</v>
      </c>
      <c r="M185">
        <v>168</v>
      </c>
      <c r="N185">
        <v>47</v>
      </c>
      <c r="O185">
        <v>215</v>
      </c>
      <c r="P185" s="6">
        <v>21779</v>
      </c>
      <c r="Q185" s="6">
        <v>0</v>
      </c>
      <c r="R185" s="6">
        <v>30033</v>
      </c>
      <c r="S185" s="6">
        <v>33479</v>
      </c>
      <c r="T185" s="6">
        <v>237240</v>
      </c>
      <c r="U185" s="6">
        <v>130711</v>
      </c>
      <c r="V185" s="6">
        <v>106529</v>
      </c>
    </row>
    <row r="186" spans="1:22" x14ac:dyDescent="0.25">
      <c r="A186">
        <v>2026</v>
      </c>
      <c r="B186" s="1" t="s">
        <v>17</v>
      </c>
      <c r="C186" t="s">
        <v>52</v>
      </c>
      <c r="D186" s="1" t="s">
        <v>588</v>
      </c>
      <c r="E186" t="s">
        <v>263</v>
      </c>
      <c r="F186" s="6">
        <v>381225</v>
      </c>
      <c r="G186" s="6">
        <v>302212</v>
      </c>
      <c r="H186" s="6">
        <v>64728</v>
      </c>
      <c r="I186" s="6">
        <v>237484</v>
      </c>
      <c r="J186" s="6">
        <v>79013</v>
      </c>
      <c r="K186">
        <v>0</v>
      </c>
      <c r="L186" s="6">
        <v>316497</v>
      </c>
      <c r="M186">
        <v>337</v>
      </c>
      <c r="N186">
        <v>88</v>
      </c>
      <c r="O186">
        <v>425</v>
      </c>
      <c r="P186" s="6">
        <v>36222</v>
      </c>
      <c r="Q186" s="6">
        <v>0</v>
      </c>
      <c r="R186" s="6">
        <v>65825</v>
      </c>
      <c r="S186" s="6">
        <v>72389</v>
      </c>
      <c r="T186" s="6">
        <v>491358</v>
      </c>
      <c r="U186" s="6">
        <v>274042</v>
      </c>
      <c r="V186" s="6">
        <v>217316</v>
      </c>
    </row>
    <row r="187" spans="1:22" x14ac:dyDescent="0.25">
      <c r="A187">
        <v>2026</v>
      </c>
      <c r="B187" s="1" t="s">
        <v>21</v>
      </c>
      <c r="C187" t="s">
        <v>56</v>
      </c>
      <c r="D187" s="1" t="s">
        <v>589</v>
      </c>
      <c r="E187" t="s">
        <v>264</v>
      </c>
      <c r="F187" s="6">
        <v>121642</v>
      </c>
      <c r="G187" s="6">
        <v>96898</v>
      </c>
      <c r="H187" s="6">
        <v>20754</v>
      </c>
      <c r="I187" s="6">
        <v>76144</v>
      </c>
      <c r="J187" s="6">
        <v>24744</v>
      </c>
      <c r="K187" s="6">
        <v>6922</v>
      </c>
      <c r="L187" s="6">
        <v>107810</v>
      </c>
      <c r="M187">
        <v>221</v>
      </c>
      <c r="N187">
        <v>56</v>
      </c>
      <c r="O187">
        <v>277</v>
      </c>
      <c r="P187" s="6">
        <v>12362</v>
      </c>
      <c r="Q187" s="6">
        <v>0</v>
      </c>
      <c r="R187" s="6">
        <v>19748</v>
      </c>
      <c r="S187" s="6">
        <v>21715</v>
      </c>
      <c r="T187" s="6">
        <v>161912</v>
      </c>
      <c r="U187" s="6">
        <v>88727</v>
      </c>
      <c r="V187" s="6">
        <v>73185</v>
      </c>
    </row>
    <row r="188" spans="1:22" x14ac:dyDescent="0.25">
      <c r="A188">
        <v>2026</v>
      </c>
      <c r="B188" s="1" t="s">
        <v>20</v>
      </c>
      <c r="C188" t="s">
        <v>55</v>
      </c>
      <c r="D188" s="1" t="s">
        <v>590</v>
      </c>
      <c r="E188" t="s">
        <v>265</v>
      </c>
      <c r="F188" s="6">
        <v>86369</v>
      </c>
      <c r="G188" s="6">
        <v>68280</v>
      </c>
      <c r="H188" s="6">
        <v>14625</v>
      </c>
      <c r="I188" s="6">
        <v>53655</v>
      </c>
      <c r="J188" s="6">
        <v>18089</v>
      </c>
      <c r="K188" s="6">
        <v>6499</v>
      </c>
      <c r="L188" s="6">
        <v>78243</v>
      </c>
      <c r="M188">
        <v>138</v>
      </c>
      <c r="N188">
        <v>37</v>
      </c>
      <c r="O188">
        <v>175</v>
      </c>
      <c r="P188" s="6">
        <v>9275</v>
      </c>
      <c r="Q188">
        <v>0</v>
      </c>
      <c r="R188" s="6">
        <v>13388</v>
      </c>
      <c r="S188" s="6">
        <v>14803</v>
      </c>
      <c r="T188" s="6">
        <v>115884</v>
      </c>
      <c r="U188" s="6">
        <v>63068</v>
      </c>
      <c r="V188" s="6">
        <v>52816</v>
      </c>
    </row>
    <row r="189" spans="1:22" x14ac:dyDescent="0.25">
      <c r="A189">
        <v>2026</v>
      </c>
      <c r="B189" s="1" t="s">
        <v>21</v>
      </c>
      <c r="C189" t="s">
        <v>56</v>
      </c>
      <c r="D189" s="1" t="s">
        <v>591</v>
      </c>
      <c r="E189" t="s">
        <v>266</v>
      </c>
      <c r="F189" s="6">
        <v>76153</v>
      </c>
      <c r="G189" s="6">
        <v>60662</v>
      </c>
      <c r="H189" s="6">
        <v>12992</v>
      </c>
      <c r="I189" s="6">
        <v>47670</v>
      </c>
      <c r="J189" s="6">
        <v>15491</v>
      </c>
      <c r="K189">
        <v>49</v>
      </c>
      <c r="L189" s="6">
        <v>63210</v>
      </c>
      <c r="M189">
        <v>138</v>
      </c>
      <c r="N189">
        <v>35</v>
      </c>
      <c r="O189">
        <v>173</v>
      </c>
      <c r="P189" s="6">
        <v>7664</v>
      </c>
      <c r="Q189">
        <v>0</v>
      </c>
      <c r="R189" s="6">
        <v>12407</v>
      </c>
      <c r="S189" s="6">
        <v>13643</v>
      </c>
      <c r="T189" s="6">
        <v>97097</v>
      </c>
      <c r="U189" s="6">
        <v>55472</v>
      </c>
      <c r="V189" s="6">
        <v>41625</v>
      </c>
    </row>
    <row r="190" spans="1:22" x14ac:dyDescent="0.25">
      <c r="A190">
        <v>2026</v>
      </c>
      <c r="B190" s="1" t="s">
        <v>21</v>
      </c>
      <c r="C190" t="s">
        <v>56</v>
      </c>
      <c r="D190" s="1" t="s">
        <v>592</v>
      </c>
      <c r="E190" t="s">
        <v>267</v>
      </c>
      <c r="F190" s="6">
        <v>77653</v>
      </c>
      <c r="G190" s="6">
        <v>61857</v>
      </c>
      <c r="H190" s="6">
        <v>13248</v>
      </c>
      <c r="I190" s="6">
        <v>48609</v>
      </c>
      <c r="J190" s="6">
        <v>15796</v>
      </c>
      <c r="K190" s="6">
        <v>0</v>
      </c>
      <c r="L190" s="6">
        <v>64405</v>
      </c>
      <c r="M190">
        <v>141</v>
      </c>
      <c r="N190">
        <v>36</v>
      </c>
      <c r="O190">
        <v>177</v>
      </c>
      <c r="P190" s="6">
        <v>7813</v>
      </c>
      <c r="Q190">
        <v>0</v>
      </c>
      <c r="R190" s="6">
        <v>13252</v>
      </c>
      <c r="S190" s="6">
        <v>14572</v>
      </c>
      <c r="T190" s="6">
        <v>100219</v>
      </c>
      <c r="U190" s="6">
        <v>56563</v>
      </c>
      <c r="V190" s="6">
        <v>43656</v>
      </c>
    </row>
    <row r="191" spans="1:22" x14ac:dyDescent="0.25">
      <c r="A191">
        <v>2026</v>
      </c>
      <c r="B191" s="1" t="s">
        <v>20</v>
      </c>
      <c r="C191" t="s">
        <v>55</v>
      </c>
      <c r="D191" s="1" t="s">
        <v>593</v>
      </c>
      <c r="E191" t="s">
        <v>268</v>
      </c>
      <c r="F191" s="6">
        <v>238945</v>
      </c>
      <c r="G191" s="6">
        <v>188900</v>
      </c>
      <c r="H191" s="6">
        <v>40460</v>
      </c>
      <c r="I191" s="6">
        <v>148440</v>
      </c>
      <c r="J191" s="6">
        <v>50045</v>
      </c>
      <c r="K191">
        <v>0</v>
      </c>
      <c r="L191" s="6">
        <v>198485</v>
      </c>
      <c r="M191">
        <v>386</v>
      </c>
      <c r="N191">
        <v>103</v>
      </c>
      <c r="O191">
        <v>489</v>
      </c>
      <c r="P191" s="6">
        <v>24536</v>
      </c>
      <c r="Q191" s="6">
        <v>0</v>
      </c>
      <c r="R191" s="6">
        <v>38149</v>
      </c>
      <c r="S191" s="6">
        <v>42182</v>
      </c>
      <c r="T191" s="6">
        <v>303841</v>
      </c>
      <c r="U191" s="6">
        <v>173362</v>
      </c>
      <c r="V191" s="6">
        <v>130479</v>
      </c>
    </row>
    <row r="192" spans="1:22" x14ac:dyDescent="0.25">
      <c r="A192">
        <v>2026</v>
      </c>
      <c r="B192" s="1" t="s">
        <v>21</v>
      </c>
      <c r="C192" t="s">
        <v>56</v>
      </c>
      <c r="D192" s="1" t="s">
        <v>594</v>
      </c>
      <c r="E192" t="s">
        <v>269</v>
      </c>
      <c r="F192" s="6">
        <v>691325</v>
      </c>
      <c r="G192" s="6">
        <v>550697</v>
      </c>
      <c r="H192" s="6">
        <v>117950</v>
      </c>
      <c r="I192" s="6">
        <v>432747</v>
      </c>
      <c r="J192" s="6">
        <v>140628</v>
      </c>
      <c r="K192" s="6">
        <v>0</v>
      </c>
      <c r="L192" s="6">
        <v>573375</v>
      </c>
      <c r="M192" s="6">
        <v>1259</v>
      </c>
      <c r="N192">
        <v>321</v>
      </c>
      <c r="O192" s="6">
        <v>1580</v>
      </c>
      <c r="P192" s="6">
        <v>69555</v>
      </c>
      <c r="Q192" s="6">
        <v>0</v>
      </c>
      <c r="R192" s="6">
        <v>114589</v>
      </c>
      <c r="S192" s="6">
        <v>126003</v>
      </c>
      <c r="T192" s="6">
        <v>885102</v>
      </c>
      <c r="U192" s="6">
        <v>503561</v>
      </c>
      <c r="V192" s="6">
        <v>381541</v>
      </c>
    </row>
    <row r="193" spans="1:22" x14ac:dyDescent="0.25">
      <c r="A193">
        <v>2026</v>
      </c>
      <c r="B193" s="1" t="s">
        <v>17</v>
      </c>
      <c r="C193" t="s">
        <v>52</v>
      </c>
      <c r="D193" s="1" t="s">
        <v>595</v>
      </c>
      <c r="E193" t="s">
        <v>270</v>
      </c>
      <c r="F193" s="6">
        <v>406550</v>
      </c>
      <c r="G193" s="6">
        <v>322288</v>
      </c>
      <c r="H193" s="6">
        <v>69029</v>
      </c>
      <c r="I193" s="6">
        <v>253259</v>
      </c>
      <c r="J193" s="6">
        <v>84262</v>
      </c>
      <c r="K193">
        <v>0</v>
      </c>
      <c r="L193" s="6">
        <v>337521</v>
      </c>
      <c r="M193">
        <v>359</v>
      </c>
      <c r="N193">
        <v>94</v>
      </c>
      <c r="O193">
        <v>453</v>
      </c>
      <c r="P193" s="6">
        <v>38628</v>
      </c>
      <c r="Q193" s="6">
        <v>0</v>
      </c>
      <c r="R193" s="6">
        <v>72193</v>
      </c>
      <c r="S193" s="6">
        <v>79392</v>
      </c>
      <c r="T193" s="6">
        <v>528187</v>
      </c>
      <c r="U193" s="6">
        <v>292246</v>
      </c>
      <c r="V193" s="6">
        <v>235941</v>
      </c>
    </row>
    <row r="194" spans="1:22" x14ac:dyDescent="0.25">
      <c r="A194">
        <v>2026</v>
      </c>
      <c r="B194" s="1" t="s">
        <v>20</v>
      </c>
      <c r="C194" t="s">
        <v>55</v>
      </c>
      <c r="D194" s="1" t="s">
        <v>596</v>
      </c>
      <c r="E194" t="s">
        <v>271</v>
      </c>
      <c r="F194" s="6">
        <v>88498</v>
      </c>
      <c r="G194" s="6">
        <v>69963</v>
      </c>
      <c r="H194" s="6">
        <v>14985</v>
      </c>
      <c r="I194" s="6">
        <v>54978</v>
      </c>
      <c r="J194" s="6">
        <v>18535</v>
      </c>
      <c r="K194" s="6">
        <v>0</v>
      </c>
      <c r="L194" s="6">
        <v>73513</v>
      </c>
      <c r="M194">
        <v>144</v>
      </c>
      <c r="N194">
        <v>38</v>
      </c>
      <c r="O194">
        <v>182</v>
      </c>
      <c r="P194" s="6">
        <v>9088</v>
      </c>
      <c r="Q194">
        <v>0</v>
      </c>
      <c r="R194" s="6">
        <v>14298</v>
      </c>
      <c r="S194" s="6">
        <v>15809</v>
      </c>
      <c r="T194" s="6">
        <v>112890</v>
      </c>
      <c r="U194" s="6">
        <v>64210</v>
      </c>
      <c r="V194" s="6">
        <v>48680</v>
      </c>
    </row>
    <row r="195" spans="1:22" x14ac:dyDescent="0.25">
      <c r="A195">
        <v>2026</v>
      </c>
      <c r="B195" s="1" t="s">
        <v>16</v>
      </c>
      <c r="C195" t="s">
        <v>51</v>
      </c>
      <c r="D195" s="1" t="s">
        <v>597</v>
      </c>
      <c r="E195" t="s">
        <v>272</v>
      </c>
      <c r="F195" s="6">
        <v>1761004</v>
      </c>
      <c r="G195" s="6">
        <v>1388360</v>
      </c>
      <c r="H195" s="6">
        <v>297365</v>
      </c>
      <c r="I195" s="6">
        <v>1090995</v>
      </c>
      <c r="J195" s="6">
        <v>372644</v>
      </c>
      <c r="K195" s="6">
        <v>0</v>
      </c>
      <c r="L195" s="6">
        <v>1463639</v>
      </c>
      <c r="M195" s="6">
        <v>2357</v>
      </c>
      <c r="N195">
        <v>633</v>
      </c>
      <c r="O195" s="6">
        <v>2990</v>
      </c>
      <c r="P195" s="6">
        <v>162629</v>
      </c>
      <c r="Q195" s="6">
        <v>0</v>
      </c>
      <c r="R195" s="6">
        <v>296654</v>
      </c>
      <c r="S195" s="6">
        <v>324397</v>
      </c>
      <c r="T195" s="6">
        <v>2250309</v>
      </c>
      <c r="U195" s="6">
        <v>1255981</v>
      </c>
      <c r="V195" s="6">
        <v>994328</v>
      </c>
    </row>
    <row r="196" spans="1:22" x14ac:dyDescent="0.25">
      <c r="A196">
        <v>2026</v>
      </c>
      <c r="B196" s="1" t="s">
        <v>15</v>
      </c>
      <c r="C196" t="s">
        <v>50</v>
      </c>
      <c r="D196" s="1" t="s">
        <v>598</v>
      </c>
      <c r="E196" t="s">
        <v>273</v>
      </c>
      <c r="F196" s="6">
        <v>224786</v>
      </c>
      <c r="G196" s="6">
        <v>176033</v>
      </c>
      <c r="H196" s="6">
        <v>37704</v>
      </c>
      <c r="I196" s="6">
        <v>138329</v>
      </c>
      <c r="J196" s="6">
        <v>48753</v>
      </c>
      <c r="K196" s="6">
        <v>4440</v>
      </c>
      <c r="L196" s="6">
        <v>191522</v>
      </c>
      <c r="M196">
        <v>215</v>
      </c>
      <c r="N196">
        <v>60</v>
      </c>
      <c r="O196">
        <v>275</v>
      </c>
      <c r="P196" s="6">
        <v>28229</v>
      </c>
      <c r="Q196" s="6">
        <v>0</v>
      </c>
      <c r="R196" s="6">
        <v>38391</v>
      </c>
      <c r="S196" s="6">
        <v>42795</v>
      </c>
      <c r="T196" s="6">
        <v>301212</v>
      </c>
      <c r="U196" s="6">
        <v>166773</v>
      </c>
      <c r="V196" s="6">
        <v>134439</v>
      </c>
    </row>
    <row r="197" spans="1:22" x14ac:dyDescent="0.25">
      <c r="A197">
        <v>2026</v>
      </c>
      <c r="B197" s="1" t="s">
        <v>18</v>
      </c>
      <c r="C197" t="s">
        <v>53</v>
      </c>
      <c r="D197" s="1" t="s">
        <v>599</v>
      </c>
      <c r="E197" t="s">
        <v>274</v>
      </c>
      <c r="F197" s="6">
        <v>537896</v>
      </c>
      <c r="G197" s="6">
        <v>435288</v>
      </c>
      <c r="H197" s="6">
        <v>93232</v>
      </c>
      <c r="I197" s="6">
        <v>342056</v>
      </c>
      <c r="J197" s="6">
        <v>102608</v>
      </c>
      <c r="K197">
        <v>0</v>
      </c>
      <c r="L197" s="6">
        <v>444664</v>
      </c>
      <c r="M197">
        <v>0</v>
      </c>
      <c r="N197">
        <v>0</v>
      </c>
      <c r="O197">
        <v>0</v>
      </c>
      <c r="P197" s="6">
        <v>46226</v>
      </c>
      <c r="Q197" s="6">
        <v>0</v>
      </c>
      <c r="R197" s="6">
        <v>91323</v>
      </c>
      <c r="S197" s="6">
        <v>100362</v>
      </c>
      <c r="T197" s="6">
        <v>682575</v>
      </c>
      <c r="U197" s="6">
        <v>388282</v>
      </c>
      <c r="V197" s="6">
        <v>294293</v>
      </c>
    </row>
    <row r="198" spans="1:22" x14ac:dyDescent="0.25">
      <c r="A198">
        <v>2026</v>
      </c>
      <c r="B198" s="1" t="s">
        <v>13</v>
      </c>
      <c r="C198" t="s">
        <v>48</v>
      </c>
      <c r="D198" s="1" t="s">
        <v>600</v>
      </c>
      <c r="E198" t="s">
        <v>275</v>
      </c>
      <c r="F198" s="6">
        <v>397577</v>
      </c>
      <c r="G198" s="6">
        <v>302024</v>
      </c>
      <c r="H198" s="6">
        <v>64689</v>
      </c>
      <c r="I198" s="6">
        <v>237335</v>
      </c>
      <c r="J198" s="6">
        <v>95553</v>
      </c>
      <c r="K198">
        <v>0</v>
      </c>
      <c r="L198" s="6">
        <v>332888</v>
      </c>
      <c r="M198">
        <v>781</v>
      </c>
      <c r="N198">
        <v>247</v>
      </c>
      <c r="O198" s="6">
        <v>1028</v>
      </c>
      <c r="P198" s="6">
        <v>39427</v>
      </c>
      <c r="Q198" s="6">
        <v>0</v>
      </c>
      <c r="R198" s="6">
        <v>69371</v>
      </c>
      <c r="S198" s="6">
        <v>77269</v>
      </c>
      <c r="T198" s="6">
        <v>519983</v>
      </c>
      <c r="U198" s="6">
        <v>277543</v>
      </c>
      <c r="V198" s="6">
        <v>242440</v>
      </c>
    </row>
    <row r="199" spans="1:22" x14ac:dyDescent="0.25">
      <c r="A199">
        <v>2026</v>
      </c>
      <c r="B199" s="1" t="s">
        <v>21</v>
      </c>
      <c r="C199" t="s">
        <v>56</v>
      </c>
      <c r="D199" s="1" t="s">
        <v>601</v>
      </c>
      <c r="E199" t="s">
        <v>276</v>
      </c>
      <c r="F199" s="6">
        <v>212316</v>
      </c>
      <c r="G199" s="6">
        <v>169127</v>
      </c>
      <c r="H199" s="6">
        <v>36224</v>
      </c>
      <c r="I199" s="6">
        <v>132903</v>
      </c>
      <c r="J199" s="6">
        <v>43189</v>
      </c>
      <c r="K199">
        <v>0</v>
      </c>
      <c r="L199" s="6">
        <v>176092</v>
      </c>
      <c r="M199">
        <v>386</v>
      </c>
      <c r="N199">
        <v>99</v>
      </c>
      <c r="O199">
        <v>485</v>
      </c>
      <c r="P199" s="6">
        <v>21362</v>
      </c>
      <c r="Q199" s="6">
        <v>0</v>
      </c>
      <c r="R199" s="6">
        <v>36118</v>
      </c>
      <c r="S199" s="6">
        <v>39715</v>
      </c>
      <c r="T199" s="6">
        <v>273772</v>
      </c>
      <c r="U199" s="6">
        <v>154652</v>
      </c>
      <c r="V199" s="6">
        <v>119120</v>
      </c>
    </row>
    <row r="200" spans="1:22" x14ac:dyDescent="0.25">
      <c r="A200">
        <v>2026</v>
      </c>
      <c r="B200" s="1" t="s">
        <v>14</v>
      </c>
      <c r="C200" t="s">
        <v>49</v>
      </c>
      <c r="D200" s="1" t="s">
        <v>602</v>
      </c>
      <c r="E200" t="s">
        <v>277</v>
      </c>
      <c r="F200" s="6">
        <v>180210</v>
      </c>
      <c r="G200" s="6">
        <v>138519</v>
      </c>
      <c r="H200" s="6">
        <v>29669</v>
      </c>
      <c r="I200" s="6">
        <v>108850</v>
      </c>
      <c r="J200" s="6">
        <v>41691</v>
      </c>
      <c r="K200" s="6">
        <v>7932</v>
      </c>
      <c r="L200" s="6">
        <v>158473</v>
      </c>
      <c r="M200">
        <v>0</v>
      </c>
      <c r="N200">
        <v>0</v>
      </c>
      <c r="O200">
        <v>0</v>
      </c>
      <c r="P200" s="6">
        <v>19647</v>
      </c>
      <c r="Q200" s="6">
        <v>0</v>
      </c>
      <c r="R200" s="6">
        <v>30579</v>
      </c>
      <c r="S200" s="6">
        <v>34239</v>
      </c>
      <c r="T200" s="6">
        <v>242938</v>
      </c>
      <c r="U200" s="6">
        <v>128497</v>
      </c>
      <c r="V200" s="6">
        <v>114441</v>
      </c>
    </row>
    <row r="201" spans="1:22" x14ac:dyDescent="0.25">
      <c r="A201">
        <v>2026</v>
      </c>
      <c r="B201" s="1" t="s">
        <v>18</v>
      </c>
      <c r="C201" t="s">
        <v>53</v>
      </c>
      <c r="D201" s="1" t="s">
        <v>603</v>
      </c>
      <c r="E201" t="s">
        <v>278</v>
      </c>
      <c r="F201" s="6">
        <v>1146200</v>
      </c>
      <c r="G201" s="6">
        <v>927553</v>
      </c>
      <c r="H201" s="6">
        <v>198667</v>
      </c>
      <c r="I201" s="6">
        <v>728886</v>
      </c>
      <c r="J201" s="6">
        <v>218647</v>
      </c>
      <c r="K201" s="6">
        <v>6989</v>
      </c>
      <c r="L201" s="6">
        <v>954522</v>
      </c>
      <c r="M201">
        <v>0</v>
      </c>
      <c r="N201">
        <v>0</v>
      </c>
      <c r="O201">
        <v>0</v>
      </c>
      <c r="P201" s="6">
        <v>98716</v>
      </c>
      <c r="Q201" s="6">
        <v>0</v>
      </c>
      <c r="R201" s="6">
        <v>191856</v>
      </c>
      <c r="S201" s="6">
        <v>210846</v>
      </c>
      <c r="T201" s="6">
        <v>1455940</v>
      </c>
      <c r="U201" s="6">
        <v>827602</v>
      </c>
      <c r="V201" s="6">
        <v>628338</v>
      </c>
    </row>
    <row r="202" spans="1:22" x14ac:dyDescent="0.25">
      <c r="A202">
        <v>2026</v>
      </c>
      <c r="B202" s="1" t="s">
        <v>20</v>
      </c>
      <c r="C202" t="s">
        <v>55</v>
      </c>
      <c r="D202" s="1" t="s">
        <v>604</v>
      </c>
      <c r="E202" t="s">
        <v>279</v>
      </c>
      <c r="F202" s="6">
        <v>255329</v>
      </c>
      <c r="G202" s="6">
        <v>201853</v>
      </c>
      <c r="H202" s="6">
        <v>43234</v>
      </c>
      <c r="I202" s="6">
        <v>158619</v>
      </c>
      <c r="J202" s="6">
        <v>53476</v>
      </c>
      <c r="K202" s="6">
        <v>3589</v>
      </c>
      <c r="L202" s="6">
        <v>215684</v>
      </c>
      <c r="M202">
        <v>411</v>
      </c>
      <c r="N202">
        <v>109</v>
      </c>
      <c r="O202">
        <v>520</v>
      </c>
      <c r="P202" s="6">
        <v>26589</v>
      </c>
      <c r="Q202" s="6">
        <v>0</v>
      </c>
      <c r="R202" s="6">
        <v>41984</v>
      </c>
      <c r="S202" s="6">
        <v>46422</v>
      </c>
      <c r="T202" s="6">
        <v>331199</v>
      </c>
      <c r="U202" s="6">
        <v>185619</v>
      </c>
      <c r="V202" s="6">
        <v>145580</v>
      </c>
    </row>
    <row r="203" spans="1:22" x14ac:dyDescent="0.25">
      <c r="A203">
        <v>2026</v>
      </c>
      <c r="B203" s="1" t="s">
        <v>15</v>
      </c>
      <c r="C203" t="s">
        <v>50</v>
      </c>
      <c r="D203" s="1" t="s">
        <v>605</v>
      </c>
      <c r="E203" t="s">
        <v>280</v>
      </c>
      <c r="F203" s="6">
        <v>214534</v>
      </c>
      <c r="G203" s="6">
        <v>168004</v>
      </c>
      <c r="H203" s="6">
        <v>35984</v>
      </c>
      <c r="I203" s="6">
        <v>132020</v>
      </c>
      <c r="J203" s="6">
        <v>46530</v>
      </c>
      <c r="K203" s="6">
        <v>0</v>
      </c>
      <c r="L203" s="6">
        <v>178550</v>
      </c>
      <c r="M203">
        <v>204</v>
      </c>
      <c r="N203">
        <v>57</v>
      </c>
      <c r="O203">
        <v>261</v>
      </c>
      <c r="P203" s="6">
        <v>26333</v>
      </c>
      <c r="Q203" s="6">
        <v>0</v>
      </c>
      <c r="R203" s="6">
        <v>34473</v>
      </c>
      <c r="S203" s="6">
        <v>38428</v>
      </c>
      <c r="T203" s="6">
        <v>278045</v>
      </c>
      <c r="U203" s="6">
        <v>158557</v>
      </c>
      <c r="V203" s="6">
        <v>119488</v>
      </c>
    </row>
    <row r="204" spans="1:22" x14ac:dyDescent="0.25">
      <c r="A204">
        <v>2026</v>
      </c>
      <c r="B204" s="1" t="s">
        <v>17</v>
      </c>
      <c r="C204" t="s">
        <v>52</v>
      </c>
      <c r="D204" s="1" t="s">
        <v>606</v>
      </c>
      <c r="E204" t="s">
        <v>281</v>
      </c>
      <c r="F204" s="6">
        <v>284154</v>
      </c>
      <c r="G204" s="6">
        <v>225260</v>
      </c>
      <c r="H204" s="6">
        <v>48247</v>
      </c>
      <c r="I204" s="6">
        <v>177013</v>
      </c>
      <c r="J204" s="6">
        <v>58894</v>
      </c>
      <c r="K204" s="6">
        <v>0</v>
      </c>
      <c r="L204" s="6">
        <v>235907</v>
      </c>
      <c r="M204">
        <v>251</v>
      </c>
      <c r="N204">
        <v>66</v>
      </c>
      <c r="O204">
        <v>317</v>
      </c>
      <c r="P204" s="6">
        <v>26999</v>
      </c>
      <c r="Q204" s="6">
        <v>0</v>
      </c>
      <c r="R204" s="6">
        <v>45941</v>
      </c>
      <c r="S204" s="6">
        <v>50522</v>
      </c>
      <c r="T204" s="6">
        <v>359686</v>
      </c>
      <c r="U204" s="6">
        <v>204263</v>
      </c>
      <c r="V204" s="6">
        <v>155423</v>
      </c>
    </row>
    <row r="205" spans="1:22" x14ac:dyDescent="0.25">
      <c r="A205">
        <v>2026</v>
      </c>
      <c r="B205" s="1" t="s">
        <v>13</v>
      </c>
      <c r="C205" t="s">
        <v>48</v>
      </c>
      <c r="D205" s="1" t="s">
        <v>607</v>
      </c>
      <c r="E205" t="s">
        <v>282</v>
      </c>
      <c r="F205" s="6">
        <v>480298</v>
      </c>
      <c r="G205" s="6">
        <v>364864</v>
      </c>
      <c r="H205" s="6">
        <v>78148</v>
      </c>
      <c r="I205" s="6">
        <v>286716</v>
      </c>
      <c r="J205" s="6">
        <v>115434</v>
      </c>
      <c r="K205">
        <v>0</v>
      </c>
      <c r="L205" s="6">
        <v>402150</v>
      </c>
      <c r="M205">
        <v>947</v>
      </c>
      <c r="N205">
        <v>299</v>
      </c>
      <c r="O205" s="6">
        <v>1246</v>
      </c>
      <c r="P205" s="6">
        <v>47631</v>
      </c>
      <c r="Q205" s="6">
        <v>0</v>
      </c>
      <c r="R205" s="6">
        <v>72439</v>
      </c>
      <c r="S205" s="6">
        <v>80686</v>
      </c>
      <c r="T205" s="6">
        <v>604152</v>
      </c>
      <c r="U205" s="6">
        <v>335293</v>
      </c>
      <c r="V205" s="6">
        <v>268859</v>
      </c>
    </row>
    <row r="206" spans="1:22" x14ac:dyDescent="0.25">
      <c r="A206">
        <v>2026</v>
      </c>
      <c r="B206" s="1" t="s">
        <v>15</v>
      </c>
      <c r="C206" t="s">
        <v>50</v>
      </c>
      <c r="D206" s="1" t="s">
        <v>608</v>
      </c>
      <c r="E206" t="s">
        <v>283</v>
      </c>
      <c r="F206" s="6">
        <v>185063</v>
      </c>
      <c r="G206" s="6">
        <v>144925</v>
      </c>
      <c r="H206" s="6">
        <v>31040</v>
      </c>
      <c r="I206" s="6">
        <v>113885</v>
      </c>
      <c r="J206" s="6">
        <v>40138</v>
      </c>
      <c r="K206" s="6">
        <v>3953</v>
      </c>
      <c r="L206" s="6">
        <v>157976</v>
      </c>
      <c r="M206">
        <v>177</v>
      </c>
      <c r="N206">
        <v>49</v>
      </c>
      <c r="O206">
        <v>226</v>
      </c>
      <c r="P206" s="6">
        <v>23277</v>
      </c>
      <c r="Q206" s="6">
        <v>0</v>
      </c>
      <c r="R206" s="6">
        <v>29772</v>
      </c>
      <c r="S206" s="6">
        <v>33188</v>
      </c>
      <c r="T206" s="6">
        <v>244439</v>
      </c>
      <c r="U206" s="6">
        <v>137338</v>
      </c>
      <c r="V206" s="6">
        <v>107101</v>
      </c>
    </row>
    <row r="207" spans="1:22" x14ac:dyDescent="0.25">
      <c r="A207">
        <v>2026</v>
      </c>
      <c r="B207" s="1" t="s">
        <v>14</v>
      </c>
      <c r="C207" t="s">
        <v>49</v>
      </c>
      <c r="D207" s="1" t="s">
        <v>609</v>
      </c>
      <c r="E207" t="s">
        <v>284</v>
      </c>
      <c r="F207" s="6">
        <v>97890</v>
      </c>
      <c r="G207" s="6">
        <v>75243</v>
      </c>
      <c r="H207" s="6">
        <v>16116</v>
      </c>
      <c r="I207" s="6">
        <v>59127</v>
      </c>
      <c r="J207" s="6">
        <v>22647</v>
      </c>
      <c r="K207" s="6">
        <v>11131</v>
      </c>
      <c r="L207" s="6">
        <v>92905</v>
      </c>
      <c r="M207">
        <v>0</v>
      </c>
      <c r="N207">
        <v>0</v>
      </c>
      <c r="O207">
        <v>0</v>
      </c>
      <c r="P207" s="6">
        <v>10774</v>
      </c>
      <c r="Q207" s="6">
        <v>0</v>
      </c>
      <c r="R207" s="6">
        <v>16792</v>
      </c>
      <c r="S207" s="6">
        <v>18802</v>
      </c>
      <c r="T207" s="6">
        <v>139273</v>
      </c>
      <c r="U207" s="6">
        <v>69901</v>
      </c>
      <c r="V207" s="6">
        <v>69372</v>
      </c>
    </row>
    <row r="208" spans="1:22" x14ac:dyDescent="0.25">
      <c r="A208">
        <v>2026</v>
      </c>
      <c r="B208" s="1" t="s">
        <v>17</v>
      </c>
      <c r="C208" t="s">
        <v>52</v>
      </c>
      <c r="D208" s="1" t="s">
        <v>610</v>
      </c>
      <c r="E208" t="s">
        <v>285</v>
      </c>
      <c r="F208" s="6">
        <v>210776</v>
      </c>
      <c r="G208" s="6">
        <v>167090</v>
      </c>
      <c r="H208" s="6">
        <v>35788</v>
      </c>
      <c r="I208" s="6">
        <v>131302</v>
      </c>
      <c r="J208" s="6">
        <v>43686</v>
      </c>
      <c r="K208" s="6">
        <v>4993</v>
      </c>
      <c r="L208" s="6">
        <v>179981</v>
      </c>
      <c r="M208">
        <v>185</v>
      </c>
      <c r="N208">
        <v>48</v>
      </c>
      <c r="O208">
        <v>233</v>
      </c>
      <c r="P208" s="6">
        <v>20027</v>
      </c>
      <c r="Q208" s="6">
        <v>0</v>
      </c>
      <c r="R208" s="6">
        <v>36649</v>
      </c>
      <c r="S208" s="6">
        <v>40303</v>
      </c>
      <c r="T208" s="6">
        <v>277193</v>
      </c>
      <c r="U208" s="6">
        <v>151514</v>
      </c>
      <c r="V208" s="6">
        <v>125679</v>
      </c>
    </row>
    <row r="209" spans="1:22" x14ac:dyDescent="0.25">
      <c r="A209">
        <v>2026</v>
      </c>
      <c r="B209" s="1" t="s">
        <v>21</v>
      </c>
      <c r="C209" t="s">
        <v>56</v>
      </c>
      <c r="D209" s="1" t="s">
        <v>611</v>
      </c>
      <c r="E209" t="s">
        <v>286</v>
      </c>
      <c r="F209" s="6">
        <v>181874</v>
      </c>
      <c r="G209" s="6">
        <v>144878</v>
      </c>
      <c r="H209" s="6">
        <v>31031</v>
      </c>
      <c r="I209" s="6">
        <v>113847</v>
      </c>
      <c r="J209" s="6">
        <v>36996</v>
      </c>
      <c r="K209" s="6">
        <v>4780</v>
      </c>
      <c r="L209" s="6">
        <v>155623</v>
      </c>
      <c r="M209">
        <v>331</v>
      </c>
      <c r="N209">
        <v>85</v>
      </c>
      <c r="O209">
        <v>416</v>
      </c>
      <c r="P209" s="6">
        <v>18299</v>
      </c>
      <c r="Q209" s="6">
        <v>0</v>
      </c>
      <c r="R209" s="6">
        <v>32740</v>
      </c>
      <c r="S209" s="6">
        <v>36001</v>
      </c>
      <c r="T209" s="6">
        <v>243079</v>
      </c>
      <c r="U209" s="6">
        <v>132477</v>
      </c>
      <c r="V209" s="6">
        <v>110602</v>
      </c>
    </row>
    <row r="210" spans="1:22" x14ac:dyDescent="0.25">
      <c r="A210">
        <v>2026</v>
      </c>
      <c r="B210" s="1" t="s">
        <v>18</v>
      </c>
      <c r="C210" t="s">
        <v>53</v>
      </c>
      <c r="D210" s="1" t="s">
        <v>612</v>
      </c>
      <c r="E210" t="s">
        <v>287</v>
      </c>
      <c r="F210" s="6">
        <v>808288</v>
      </c>
      <c r="G210" s="6">
        <v>654101</v>
      </c>
      <c r="H210" s="6">
        <v>140098</v>
      </c>
      <c r="I210" s="6">
        <v>514003</v>
      </c>
      <c r="J210" s="6">
        <v>154187</v>
      </c>
      <c r="K210">
        <v>0</v>
      </c>
      <c r="L210" s="6">
        <v>668190</v>
      </c>
      <c r="M210">
        <v>0</v>
      </c>
      <c r="N210">
        <v>0</v>
      </c>
      <c r="O210">
        <v>0</v>
      </c>
      <c r="P210" s="6">
        <v>69463</v>
      </c>
      <c r="Q210" s="6">
        <v>0</v>
      </c>
      <c r="R210" s="6">
        <v>145935</v>
      </c>
      <c r="S210" s="6">
        <v>160380</v>
      </c>
      <c r="T210" s="6">
        <v>1043968</v>
      </c>
      <c r="U210" s="6">
        <v>583466</v>
      </c>
      <c r="V210" s="6">
        <v>460502</v>
      </c>
    </row>
    <row r="211" spans="1:22" x14ac:dyDescent="0.25">
      <c r="A211">
        <v>2026</v>
      </c>
      <c r="B211" s="1" t="s">
        <v>16</v>
      </c>
      <c r="C211" t="s">
        <v>51</v>
      </c>
      <c r="D211" s="1" t="s">
        <v>613</v>
      </c>
      <c r="E211" t="s">
        <v>288</v>
      </c>
      <c r="F211" s="6">
        <v>1139304</v>
      </c>
      <c r="G211" s="6">
        <v>898217</v>
      </c>
      <c r="H211" s="6">
        <v>192384</v>
      </c>
      <c r="I211" s="6">
        <v>705833</v>
      </c>
      <c r="J211" s="6">
        <v>241087</v>
      </c>
      <c r="K211" s="6">
        <v>444</v>
      </c>
      <c r="L211" s="6">
        <v>947364</v>
      </c>
      <c r="M211" s="6">
        <v>1526</v>
      </c>
      <c r="N211">
        <v>410</v>
      </c>
      <c r="O211" s="6">
        <v>1936</v>
      </c>
      <c r="P211" s="6">
        <v>105215</v>
      </c>
      <c r="Q211" s="6">
        <v>0</v>
      </c>
      <c r="R211" s="6">
        <v>198288</v>
      </c>
      <c r="S211" s="6">
        <v>216832</v>
      </c>
      <c r="T211" s="6">
        <v>1469635</v>
      </c>
      <c r="U211" s="6">
        <v>812574</v>
      </c>
      <c r="V211" s="6">
        <v>657061</v>
      </c>
    </row>
    <row r="212" spans="1:22" x14ac:dyDescent="0.25">
      <c r="A212">
        <v>2026</v>
      </c>
      <c r="B212" s="1" t="s">
        <v>15</v>
      </c>
      <c r="C212" t="s">
        <v>50</v>
      </c>
      <c r="D212" s="1" t="s">
        <v>614</v>
      </c>
      <c r="E212" t="s">
        <v>289</v>
      </c>
      <c r="F212" s="6">
        <v>178641</v>
      </c>
      <c r="G212" s="6">
        <v>139896</v>
      </c>
      <c r="H212" s="6">
        <v>29964</v>
      </c>
      <c r="I212" s="6">
        <v>109932</v>
      </c>
      <c r="J212" s="6">
        <v>38745</v>
      </c>
      <c r="K212">
        <v>0</v>
      </c>
      <c r="L212" s="6">
        <v>148677</v>
      </c>
      <c r="M212">
        <v>171</v>
      </c>
      <c r="N212">
        <v>48</v>
      </c>
      <c r="O212">
        <v>219</v>
      </c>
      <c r="P212" s="6">
        <v>21937</v>
      </c>
      <c r="Q212" s="6">
        <v>0</v>
      </c>
      <c r="R212" s="6">
        <v>29642</v>
      </c>
      <c r="S212" s="6">
        <v>33042</v>
      </c>
      <c r="T212" s="6">
        <v>233517</v>
      </c>
      <c r="U212" s="6">
        <v>132040</v>
      </c>
      <c r="V212" s="6">
        <v>101477</v>
      </c>
    </row>
    <row r="213" spans="1:22" x14ac:dyDescent="0.25">
      <c r="A213">
        <v>2026</v>
      </c>
      <c r="B213" s="1" t="s">
        <v>14</v>
      </c>
      <c r="C213" t="s">
        <v>49</v>
      </c>
      <c r="D213" s="1" t="s">
        <v>615</v>
      </c>
      <c r="E213" t="s">
        <v>290</v>
      </c>
      <c r="F213" s="6">
        <v>157445</v>
      </c>
      <c r="G213" s="6">
        <v>121020</v>
      </c>
      <c r="H213" s="6">
        <v>25921</v>
      </c>
      <c r="I213" s="6">
        <v>95099</v>
      </c>
      <c r="J213" s="6">
        <v>36425</v>
      </c>
      <c r="K213" s="6">
        <v>12790</v>
      </c>
      <c r="L213" s="6">
        <v>144314</v>
      </c>
      <c r="M213">
        <v>0</v>
      </c>
      <c r="N213">
        <v>0</v>
      </c>
      <c r="O213">
        <v>0</v>
      </c>
      <c r="P213" s="6">
        <v>16658</v>
      </c>
      <c r="Q213" s="6">
        <v>0</v>
      </c>
      <c r="R213" s="6">
        <v>26463</v>
      </c>
      <c r="S213" s="6">
        <v>29630</v>
      </c>
      <c r="T213" s="6">
        <v>217065</v>
      </c>
      <c r="U213" s="6">
        <v>111757</v>
      </c>
      <c r="V213" s="6">
        <v>105308</v>
      </c>
    </row>
    <row r="214" spans="1:22" x14ac:dyDescent="0.25">
      <c r="A214">
        <v>2026</v>
      </c>
      <c r="B214" s="1" t="s">
        <v>16</v>
      </c>
      <c r="C214" t="s">
        <v>51</v>
      </c>
      <c r="D214" s="1" t="s">
        <v>616</v>
      </c>
      <c r="E214" t="s">
        <v>291</v>
      </c>
      <c r="F214" s="6">
        <v>193731</v>
      </c>
      <c r="G214" s="6">
        <v>152736</v>
      </c>
      <c r="H214" s="6">
        <v>32713</v>
      </c>
      <c r="I214" s="6">
        <v>120023</v>
      </c>
      <c r="J214" s="6">
        <v>40995</v>
      </c>
      <c r="K214" s="6">
        <v>4342</v>
      </c>
      <c r="L214" s="6">
        <v>165360</v>
      </c>
      <c r="M214">
        <v>259</v>
      </c>
      <c r="N214">
        <v>70</v>
      </c>
      <c r="O214">
        <v>329</v>
      </c>
      <c r="P214" s="6">
        <v>17891</v>
      </c>
      <c r="Q214" s="6">
        <v>0</v>
      </c>
      <c r="R214" s="6">
        <v>32206</v>
      </c>
      <c r="S214" s="6">
        <v>35217</v>
      </c>
      <c r="T214" s="6">
        <v>251003</v>
      </c>
      <c r="U214" s="6">
        <v>138173</v>
      </c>
      <c r="V214" s="6">
        <v>112830</v>
      </c>
    </row>
    <row r="215" spans="1:22" x14ac:dyDescent="0.25">
      <c r="A215">
        <v>2026</v>
      </c>
      <c r="B215" s="1" t="s">
        <v>15</v>
      </c>
      <c r="C215" t="s">
        <v>50</v>
      </c>
      <c r="D215" s="1" t="s">
        <v>617</v>
      </c>
      <c r="E215" t="s">
        <v>292</v>
      </c>
      <c r="F215" s="6">
        <v>193109</v>
      </c>
      <c r="G215" s="6">
        <v>151226</v>
      </c>
      <c r="H215" s="6">
        <v>32391</v>
      </c>
      <c r="I215" s="6">
        <v>118835</v>
      </c>
      <c r="J215" s="6">
        <v>41883</v>
      </c>
      <c r="K215" s="6">
        <v>8034</v>
      </c>
      <c r="L215" s="6">
        <v>168752</v>
      </c>
      <c r="M215">
        <v>185</v>
      </c>
      <c r="N215">
        <v>51</v>
      </c>
      <c r="O215">
        <v>236</v>
      </c>
      <c r="P215" s="6">
        <v>24770</v>
      </c>
      <c r="Q215" s="6">
        <v>0</v>
      </c>
      <c r="R215" s="6">
        <v>31992</v>
      </c>
      <c r="S215" s="6">
        <v>35662</v>
      </c>
      <c r="T215" s="6">
        <v>261412</v>
      </c>
      <c r="U215" s="6">
        <v>143790</v>
      </c>
      <c r="V215" s="6">
        <v>117622</v>
      </c>
    </row>
    <row r="216" spans="1:22" x14ac:dyDescent="0.25">
      <c r="A216">
        <v>2026</v>
      </c>
      <c r="B216" s="1" t="s">
        <v>18</v>
      </c>
      <c r="C216" t="s">
        <v>53</v>
      </c>
      <c r="D216" s="1" t="s">
        <v>618</v>
      </c>
      <c r="E216" t="s">
        <v>293</v>
      </c>
      <c r="F216" s="6">
        <v>1308552</v>
      </c>
      <c r="G216" s="6">
        <v>1058935</v>
      </c>
      <c r="H216" s="6">
        <v>226807</v>
      </c>
      <c r="I216" s="6">
        <v>832128</v>
      </c>
      <c r="J216" s="6">
        <v>249617</v>
      </c>
      <c r="K216">
        <v>0</v>
      </c>
      <c r="L216" s="6">
        <v>1081745</v>
      </c>
      <c r="M216">
        <v>0</v>
      </c>
      <c r="N216">
        <v>0</v>
      </c>
      <c r="O216">
        <v>0</v>
      </c>
      <c r="P216" s="6">
        <v>112454</v>
      </c>
      <c r="Q216" s="6">
        <v>0</v>
      </c>
      <c r="R216" s="6">
        <v>234469</v>
      </c>
      <c r="S216" s="6">
        <v>257677</v>
      </c>
      <c r="T216" s="6">
        <v>1686345</v>
      </c>
      <c r="U216" s="6">
        <v>944582</v>
      </c>
      <c r="V216" s="6">
        <v>741763</v>
      </c>
    </row>
    <row r="217" spans="1:22" x14ac:dyDescent="0.25">
      <c r="A217">
        <v>2026</v>
      </c>
      <c r="B217" s="1" t="s">
        <v>19</v>
      </c>
      <c r="C217" t="s">
        <v>54</v>
      </c>
      <c r="D217" s="1" t="s">
        <v>619</v>
      </c>
      <c r="E217" t="s">
        <v>294</v>
      </c>
      <c r="F217" s="6">
        <v>371354</v>
      </c>
      <c r="G217" s="6">
        <v>288147</v>
      </c>
      <c r="H217" s="6">
        <v>61716</v>
      </c>
      <c r="I217" s="6">
        <v>226431</v>
      </c>
      <c r="J217" s="6">
        <v>83207</v>
      </c>
      <c r="K217">
        <v>0</v>
      </c>
      <c r="L217" s="6">
        <v>309638</v>
      </c>
      <c r="M217">
        <v>541</v>
      </c>
      <c r="N217">
        <v>156</v>
      </c>
      <c r="O217">
        <v>697</v>
      </c>
      <c r="P217" s="6">
        <v>37449</v>
      </c>
      <c r="Q217" s="6">
        <v>0</v>
      </c>
      <c r="R217" s="6">
        <v>60701</v>
      </c>
      <c r="S217" s="6">
        <v>67946</v>
      </c>
      <c r="T217" s="6">
        <v>476431</v>
      </c>
      <c r="U217" s="6">
        <v>264421</v>
      </c>
      <c r="V217" s="6">
        <v>212010</v>
      </c>
    </row>
    <row r="218" spans="1:22" x14ac:dyDescent="0.25">
      <c r="A218">
        <v>2026</v>
      </c>
      <c r="B218" s="1" t="s">
        <v>13</v>
      </c>
      <c r="C218" t="s">
        <v>48</v>
      </c>
      <c r="D218" s="1" t="s">
        <v>620</v>
      </c>
      <c r="E218" t="s">
        <v>295</v>
      </c>
      <c r="F218" s="6">
        <v>551850</v>
      </c>
      <c r="G218" s="6">
        <v>419219</v>
      </c>
      <c r="H218" s="6">
        <v>89790</v>
      </c>
      <c r="I218" s="6">
        <v>329429</v>
      </c>
      <c r="J218" s="6">
        <v>132631</v>
      </c>
      <c r="K218" s="6">
        <v>14083</v>
      </c>
      <c r="L218" s="6">
        <v>476143</v>
      </c>
      <c r="M218" s="6">
        <v>1087</v>
      </c>
      <c r="N218">
        <v>344</v>
      </c>
      <c r="O218" s="6">
        <v>1431</v>
      </c>
      <c r="P218" s="6">
        <v>56088</v>
      </c>
      <c r="Q218" s="6">
        <v>0</v>
      </c>
      <c r="R218" s="6">
        <v>83598</v>
      </c>
      <c r="S218" s="6">
        <v>93116</v>
      </c>
      <c r="T218" s="6">
        <v>710376</v>
      </c>
      <c r="U218" s="6">
        <v>386605</v>
      </c>
      <c r="V218" s="6">
        <v>323771</v>
      </c>
    </row>
    <row r="219" spans="1:22" x14ac:dyDescent="0.25">
      <c r="A219">
        <v>2026</v>
      </c>
      <c r="B219" s="1" t="s">
        <v>18</v>
      </c>
      <c r="C219" t="s">
        <v>53</v>
      </c>
      <c r="D219" s="1" t="s">
        <v>621</v>
      </c>
      <c r="E219" t="s">
        <v>296</v>
      </c>
      <c r="F219" s="6">
        <v>198954</v>
      </c>
      <c r="G219" s="6">
        <v>161002</v>
      </c>
      <c r="H219" s="6">
        <v>34484</v>
      </c>
      <c r="I219" s="6">
        <v>126518</v>
      </c>
      <c r="J219" s="6">
        <v>37952</v>
      </c>
      <c r="K219" s="6">
        <v>11554</v>
      </c>
      <c r="L219" s="6">
        <v>176024</v>
      </c>
      <c r="M219">
        <v>0</v>
      </c>
      <c r="N219">
        <v>0</v>
      </c>
      <c r="O219">
        <v>0</v>
      </c>
      <c r="P219" s="6">
        <v>18020</v>
      </c>
      <c r="Q219" s="6">
        <v>0</v>
      </c>
      <c r="R219" s="6">
        <v>36970</v>
      </c>
      <c r="S219" s="6">
        <v>40630</v>
      </c>
      <c r="T219" s="6">
        <v>271644</v>
      </c>
      <c r="U219" s="6">
        <v>144538</v>
      </c>
      <c r="V219" s="6">
        <v>127106</v>
      </c>
    </row>
    <row r="220" spans="1:22" x14ac:dyDescent="0.25">
      <c r="A220">
        <v>2026</v>
      </c>
      <c r="B220" s="1" t="s">
        <v>14</v>
      </c>
      <c r="C220" t="s">
        <v>49</v>
      </c>
      <c r="D220" s="1" t="s">
        <v>622</v>
      </c>
      <c r="E220" t="s">
        <v>297</v>
      </c>
      <c r="F220" s="6">
        <v>412094</v>
      </c>
      <c r="G220" s="6">
        <v>316757</v>
      </c>
      <c r="H220" s="6">
        <v>67844</v>
      </c>
      <c r="I220" s="6">
        <v>248913</v>
      </c>
      <c r="J220" s="6">
        <v>95337</v>
      </c>
      <c r="K220" s="6">
        <v>0</v>
      </c>
      <c r="L220" s="6">
        <v>344250</v>
      </c>
      <c r="M220">
        <v>0</v>
      </c>
      <c r="N220">
        <v>0</v>
      </c>
      <c r="O220">
        <v>0</v>
      </c>
      <c r="P220" s="6">
        <v>43600</v>
      </c>
      <c r="Q220" s="6">
        <v>0</v>
      </c>
      <c r="R220" s="6">
        <v>67170</v>
      </c>
      <c r="S220" s="6">
        <v>75208</v>
      </c>
      <c r="T220" s="6">
        <v>530228</v>
      </c>
      <c r="U220" s="6">
        <v>292513</v>
      </c>
      <c r="V220" s="6">
        <v>237715</v>
      </c>
    </row>
    <row r="221" spans="1:22" x14ac:dyDescent="0.25">
      <c r="A221">
        <v>2026</v>
      </c>
      <c r="B221" s="1" t="s">
        <v>17</v>
      </c>
      <c r="C221" t="s">
        <v>52</v>
      </c>
      <c r="D221" s="1" t="s">
        <v>623</v>
      </c>
      <c r="E221" t="s">
        <v>298</v>
      </c>
      <c r="F221" s="6">
        <v>77563</v>
      </c>
      <c r="G221" s="6">
        <v>61487</v>
      </c>
      <c r="H221" s="6">
        <v>13169</v>
      </c>
      <c r="I221" s="6">
        <v>48318</v>
      </c>
      <c r="J221" s="6">
        <v>16076</v>
      </c>
      <c r="K221" s="6">
        <v>1716</v>
      </c>
      <c r="L221" s="6">
        <v>66110</v>
      </c>
      <c r="M221">
        <v>69</v>
      </c>
      <c r="N221">
        <v>18</v>
      </c>
      <c r="O221">
        <v>87</v>
      </c>
      <c r="P221" s="6">
        <v>7370</v>
      </c>
      <c r="Q221">
        <v>0</v>
      </c>
      <c r="R221" s="6">
        <v>12931</v>
      </c>
      <c r="S221" s="6">
        <v>14221</v>
      </c>
      <c r="T221" s="6">
        <v>100719</v>
      </c>
      <c r="U221" s="6">
        <v>55757</v>
      </c>
      <c r="V221" s="6">
        <v>44962</v>
      </c>
    </row>
    <row r="222" spans="1:22" x14ac:dyDescent="0.25">
      <c r="A222">
        <v>2026</v>
      </c>
      <c r="B222" s="1" t="s">
        <v>20</v>
      </c>
      <c r="C222" t="s">
        <v>55</v>
      </c>
      <c r="D222" s="1" t="s">
        <v>624</v>
      </c>
      <c r="E222" t="s">
        <v>299</v>
      </c>
      <c r="F222" s="6">
        <v>58181</v>
      </c>
      <c r="G222" s="6">
        <v>45995</v>
      </c>
      <c r="H222" s="6">
        <v>9851</v>
      </c>
      <c r="I222" s="6">
        <v>36144</v>
      </c>
      <c r="J222" s="6">
        <v>12186</v>
      </c>
      <c r="K222" s="6">
        <v>14585</v>
      </c>
      <c r="L222" s="6">
        <v>62915</v>
      </c>
      <c r="M222">
        <v>97</v>
      </c>
      <c r="N222">
        <v>25</v>
      </c>
      <c r="O222">
        <v>122</v>
      </c>
      <c r="P222" s="6">
        <v>6714</v>
      </c>
      <c r="Q222">
        <v>0</v>
      </c>
      <c r="R222" s="6">
        <v>9359</v>
      </c>
      <c r="S222" s="6">
        <v>10348</v>
      </c>
      <c r="T222" s="6">
        <v>89458</v>
      </c>
      <c r="U222" s="6">
        <v>42955</v>
      </c>
      <c r="V222" s="6">
        <v>46503</v>
      </c>
    </row>
    <row r="223" spans="1:22" x14ac:dyDescent="0.25">
      <c r="A223">
        <v>2026</v>
      </c>
      <c r="B223" s="1" t="s">
        <v>15</v>
      </c>
      <c r="C223" t="s">
        <v>50</v>
      </c>
      <c r="D223" s="1" t="s">
        <v>625</v>
      </c>
      <c r="E223" t="s">
        <v>300</v>
      </c>
      <c r="F223" s="6">
        <v>337067</v>
      </c>
      <c r="G223" s="6">
        <v>263961</v>
      </c>
      <c r="H223" s="6">
        <v>56536</v>
      </c>
      <c r="I223" s="6">
        <v>207425</v>
      </c>
      <c r="J223" s="6">
        <v>73106</v>
      </c>
      <c r="K223" s="6">
        <v>2274</v>
      </c>
      <c r="L223" s="6">
        <v>282805</v>
      </c>
      <c r="M223">
        <v>323</v>
      </c>
      <c r="N223">
        <v>89</v>
      </c>
      <c r="O223">
        <v>412</v>
      </c>
      <c r="P223" s="6">
        <v>41789</v>
      </c>
      <c r="Q223" s="6">
        <v>0</v>
      </c>
      <c r="R223" s="6">
        <v>57847</v>
      </c>
      <c r="S223" s="6">
        <v>64483</v>
      </c>
      <c r="T223" s="6">
        <v>447336</v>
      </c>
      <c r="U223" s="6">
        <v>249537</v>
      </c>
      <c r="V223" s="6">
        <v>197799</v>
      </c>
    </row>
    <row r="224" spans="1:22" x14ac:dyDescent="0.25">
      <c r="A224">
        <v>2026</v>
      </c>
      <c r="B224" s="1" t="s">
        <v>21</v>
      </c>
      <c r="C224" t="s">
        <v>56</v>
      </c>
      <c r="D224" s="1" t="s">
        <v>626</v>
      </c>
      <c r="E224" t="s">
        <v>301</v>
      </c>
      <c r="F224" s="6">
        <v>848654</v>
      </c>
      <c r="G224" s="6">
        <v>676023</v>
      </c>
      <c r="H224" s="6">
        <v>144794</v>
      </c>
      <c r="I224" s="6">
        <v>531229</v>
      </c>
      <c r="J224" s="6">
        <v>172631</v>
      </c>
      <c r="K224">
        <v>0</v>
      </c>
      <c r="L224" s="6">
        <v>703860</v>
      </c>
      <c r="M224" s="6">
        <v>1543</v>
      </c>
      <c r="N224">
        <v>394</v>
      </c>
      <c r="O224" s="6">
        <v>1937</v>
      </c>
      <c r="P224" s="6">
        <v>85385</v>
      </c>
      <c r="Q224" s="6">
        <v>0</v>
      </c>
      <c r="R224" s="6">
        <v>155189</v>
      </c>
      <c r="S224" s="6">
        <v>170646</v>
      </c>
      <c r="T224" s="6">
        <v>1117017</v>
      </c>
      <c r="U224" s="6">
        <v>618157</v>
      </c>
      <c r="V224" s="6">
        <v>498860</v>
      </c>
    </row>
    <row r="225" spans="1:22" x14ac:dyDescent="0.25">
      <c r="A225">
        <v>2026</v>
      </c>
      <c r="B225" s="1" t="s">
        <v>21</v>
      </c>
      <c r="C225" t="s">
        <v>56</v>
      </c>
      <c r="D225" s="1" t="s">
        <v>627</v>
      </c>
      <c r="E225" t="s">
        <v>302</v>
      </c>
      <c r="F225" s="6">
        <v>2027632</v>
      </c>
      <c r="G225" s="6">
        <v>1615177</v>
      </c>
      <c r="H225" s="6">
        <v>345945</v>
      </c>
      <c r="I225" s="6">
        <v>1269232</v>
      </c>
      <c r="J225" s="6">
        <v>412455</v>
      </c>
      <c r="K225">
        <v>0</v>
      </c>
      <c r="L225" s="6">
        <v>1681687</v>
      </c>
      <c r="M225" s="6">
        <v>3690</v>
      </c>
      <c r="N225">
        <v>942</v>
      </c>
      <c r="O225" s="6">
        <v>4632</v>
      </c>
      <c r="P225" s="6">
        <v>204004</v>
      </c>
      <c r="Q225" s="6">
        <v>0</v>
      </c>
      <c r="R225" s="6">
        <v>343768</v>
      </c>
      <c r="S225" s="6">
        <v>378008</v>
      </c>
      <c r="T225" s="6">
        <v>2612099</v>
      </c>
      <c r="U225" s="6">
        <v>1476926</v>
      </c>
      <c r="V225" s="6">
        <v>1135173</v>
      </c>
    </row>
    <row r="226" spans="1:22" x14ac:dyDescent="0.25">
      <c r="A226">
        <v>2026</v>
      </c>
      <c r="B226" s="1" t="s">
        <v>18</v>
      </c>
      <c r="C226" t="s">
        <v>53</v>
      </c>
      <c r="D226" s="1" t="s">
        <v>628</v>
      </c>
      <c r="E226" t="s">
        <v>303</v>
      </c>
      <c r="F226" s="6">
        <v>252916</v>
      </c>
      <c r="G226" s="6">
        <v>204671</v>
      </c>
      <c r="H226" s="6">
        <v>43837</v>
      </c>
      <c r="I226" s="6">
        <v>160834</v>
      </c>
      <c r="J226" s="6">
        <v>48245</v>
      </c>
      <c r="K226" s="6">
        <v>0</v>
      </c>
      <c r="L226" s="6">
        <v>209079</v>
      </c>
      <c r="M226">
        <v>0</v>
      </c>
      <c r="N226">
        <v>0</v>
      </c>
      <c r="O226">
        <v>0</v>
      </c>
      <c r="P226" s="6">
        <v>21735</v>
      </c>
      <c r="Q226" s="6">
        <v>0</v>
      </c>
      <c r="R226" s="6">
        <v>41900</v>
      </c>
      <c r="S226" s="6">
        <v>46047</v>
      </c>
      <c r="T226" s="6">
        <v>318761</v>
      </c>
      <c r="U226" s="6">
        <v>182569</v>
      </c>
      <c r="V226" s="6">
        <v>136192</v>
      </c>
    </row>
    <row r="227" spans="1:22" x14ac:dyDescent="0.25">
      <c r="A227">
        <v>2026</v>
      </c>
      <c r="B227" s="1" t="s">
        <v>14</v>
      </c>
      <c r="C227" t="s">
        <v>49</v>
      </c>
      <c r="D227" s="1" t="s">
        <v>629</v>
      </c>
      <c r="E227" t="s">
        <v>304</v>
      </c>
      <c r="F227" s="6">
        <v>72780</v>
      </c>
      <c r="G227" s="6">
        <v>55942</v>
      </c>
      <c r="H227" s="6">
        <v>11982</v>
      </c>
      <c r="I227" s="6">
        <v>43960</v>
      </c>
      <c r="J227" s="6">
        <v>16838</v>
      </c>
      <c r="K227" s="6">
        <v>0</v>
      </c>
      <c r="L227" s="6">
        <v>60798</v>
      </c>
      <c r="M227">
        <v>0</v>
      </c>
      <c r="N227">
        <v>0</v>
      </c>
      <c r="O227">
        <v>0</v>
      </c>
      <c r="P227" s="6">
        <v>7700</v>
      </c>
      <c r="Q227">
        <v>0</v>
      </c>
      <c r="R227" s="6">
        <v>12611</v>
      </c>
      <c r="S227" s="6">
        <v>14120</v>
      </c>
      <c r="T227" s="6">
        <v>95229</v>
      </c>
      <c r="U227" s="6">
        <v>51660</v>
      </c>
      <c r="V227" s="6">
        <v>43569</v>
      </c>
    </row>
    <row r="228" spans="1:22" x14ac:dyDescent="0.25">
      <c r="A228">
        <v>2026</v>
      </c>
      <c r="B228" s="1" t="s">
        <v>18</v>
      </c>
      <c r="C228" t="s">
        <v>53</v>
      </c>
      <c r="D228" s="1" t="s">
        <v>630</v>
      </c>
      <c r="E228" t="s">
        <v>305</v>
      </c>
      <c r="F228" s="6">
        <v>373348</v>
      </c>
      <c r="G228" s="6">
        <v>302129</v>
      </c>
      <c r="H228" s="6">
        <v>64711</v>
      </c>
      <c r="I228" s="6">
        <v>237418</v>
      </c>
      <c r="J228" s="6">
        <v>71219</v>
      </c>
      <c r="K228" s="6">
        <v>0</v>
      </c>
      <c r="L228" s="6">
        <v>308637</v>
      </c>
      <c r="M228">
        <v>0</v>
      </c>
      <c r="N228">
        <v>0</v>
      </c>
      <c r="O228">
        <v>0</v>
      </c>
      <c r="P228" s="6">
        <v>32085</v>
      </c>
      <c r="Q228" s="6">
        <v>0</v>
      </c>
      <c r="R228" s="6">
        <v>65638</v>
      </c>
      <c r="S228" s="6">
        <v>72135</v>
      </c>
      <c r="T228" s="6">
        <v>478495</v>
      </c>
      <c r="U228" s="6">
        <v>269503</v>
      </c>
      <c r="V228" s="6">
        <v>208992</v>
      </c>
    </row>
    <row r="229" spans="1:22" x14ac:dyDescent="0.25">
      <c r="A229">
        <v>2026</v>
      </c>
      <c r="B229" s="1" t="s">
        <v>21</v>
      </c>
      <c r="C229" t="s">
        <v>56</v>
      </c>
      <c r="D229" s="1" t="s">
        <v>631</v>
      </c>
      <c r="E229" t="s">
        <v>306</v>
      </c>
      <c r="F229" s="6">
        <v>204375</v>
      </c>
      <c r="G229" s="6">
        <v>162801</v>
      </c>
      <c r="H229" s="6">
        <v>34870</v>
      </c>
      <c r="I229" s="6">
        <v>127931</v>
      </c>
      <c r="J229" s="6">
        <v>41574</v>
      </c>
      <c r="K229" s="6">
        <v>5355</v>
      </c>
      <c r="L229" s="6">
        <v>174860</v>
      </c>
      <c r="M229">
        <v>373</v>
      </c>
      <c r="N229">
        <v>95</v>
      </c>
      <c r="O229">
        <v>468</v>
      </c>
      <c r="P229" s="6">
        <v>20563</v>
      </c>
      <c r="Q229" s="6">
        <v>0</v>
      </c>
      <c r="R229" s="6">
        <v>35403</v>
      </c>
      <c r="S229" s="6">
        <v>38929</v>
      </c>
      <c r="T229" s="6">
        <v>270223</v>
      </c>
      <c r="U229" s="6">
        <v>148867</v>
      </c>
      <c r="V229" s="6">
        <v>121356</v>
      </c>
    </row>
    <row r="230" spans="1:22" x14ac:dyDescent="0.25">
      <c r="A230">
        <v>2026</v>
      </c>
      <c r="B230" s="1" t="s">
        <v>18</v>
      </c>
      <c r="C230" t="s">
        <v>53</v>
      </c>
      <c r="D230" s="1" t="s">
        <v>632</v>
      </c>
      <c r="E230" t="s">
        <v>307</v>
      </c>
      <c r="F230" s="6">
        <v>818537</v>
      </c>
      <c r="G230" s="6">
        <v>662394</v>
      </c>
      <c r="H230" s="6">
        <v>141874</v>
      </c>
      <c r="I230" s="6">
        <v>520520</v>
      </c>
      <c r="J230" s="6">
        <v>156143</v>
      </c>
      <c r="K230">
        <v>0</v>
      </c>
      <c r="L230" s="6">
        <v>676663</v>
      </c>
      <c r="M230">
        <v>0</v>
      </c>
      <c r="N230">
        <v>0</v>
      </c>
      <c r="O230">
        <v>0</v>
      </c>
      <c r="P230" s="6">
        <v>70343</v>
      </c>
      <c r="Q230" s="6">
        <v>0</v>
      </c>
      <c r="R230" s="6">
        <v>179792</v>
      </c>
      <c r="S230" s="6">
        <v>197588</v>
      </c>
      <c r="T230" s="6">
        <v>1124386</v>
      </c>
      <c r="U230" s="6">
        <v>590863</v>
      </c>
      <c r="V230" s="6">
        <v>533523</v>
      </c>
    </row>
    <row r="231" spans="1:22" x14ac:dyDescent="0.25">
      <c r="A231">
        <v>2026</v>
      </c>
      <c r="B231" s="1" t="s">
        <v>18</v>
      </c>
      <c r="C231" t="s">
        <v>53</v>
      </c>
      <c r="D231" s="1" t="s">
        <v>633</v>
      </c>
      <c r="E231" t="s">
        <v>308</v>
      </c>
      <c r="F231" s="6">
        <v>707778</v>
      </c>
      <c r="G231" s="6">
        <v>572763</v>
      </c>
      <c r="H231" s="6">
        <v>122677</v>
      </c>
      <c r="I231" s="6">
        <v>450086</v>
      </c>
      <c r="J231" s="6">
        <v>135015</v>
      </c>
      <c r="K231" s="6">
        <v>25868</v>
      </c>
      <c r="L231" s="6">
        <v>610969</v>
      </c>
      <c r="M231">
        <v>0</v>
      </c>
      <c r="N231">
        <v>0</v>
      </c>
      <c r="O231">
        <v>0</v>
      </c>
      <c r="P231" s="6">
        <v>62802</v>
      </c>
      <c r="Q231" s="6">
        <v>0</v>
      </c>
      <c r="R231" s="6">
        <v>122845</v>
      </c>
      <c r="S231" s="6">
        <v>135004</v>
      </c>
      <c r="T231" s="6">
        <v>931620</v>
      </c>
      <c r="U231" s="6">
        <v>512888</v>
      </c>
      <c r="V231" s="6">
        <v>418732</v>
      </c>
    </row>
    <row r="232" spans="1:22" x14ac:dyDescent="0.25">
      <c r="A232">
        <v>2026</v>
      </c>
      <c r="B232" s="1" t="s">
        <v>16</v>
      </c>
      <c r="C232" t="s">
        <v>51</v>
      </c>
      <c r="D232" s="1" t="s">
        <v>634</v>
      </c>
      <c r="E232" t="s">
        <v>309</v>
      </c>
      <c r="F232" s="6">
        <v>2089491</v>
      </c>
      <c r="G232" s="6">
        <v>1647336</v>
      </c>
      <c r="H232" s="6">
        <v>352833</v>
      </c>
      <c r="I232" s="6">
        <v>1294503</v>
      </c>
      <c r="J232" s="6">
        <v>442155</v>
      </c>
      <c r="K232">
        <v>0</v>
      </c>
      <c r="L232" s="6">
        <v>1736658</v>
      </c>
      <c r="M232" s="6">
        <v>2796</v>
      </c>
      <c r="N232">
        <v>750</v>
      </c>
      <c r="O232" s="6">
        <v>3546</v>
      </c>
      <c r="P232" s="6">
        <v>192965</v>
      </c>
      <c r="Q232" s="6">
        <v>0</v>
      </c>
      <c r="R232" s="6">
        <v>372470</v>
      </c>
      <c r="S232" s="6">
        <v>407303</v>
      </c>
      <c r="T232" s="6">
        <v>2712942</v>
      </c>
      <c r="U232" s="6">
        <v>1490264</v>
      </c>
      <c r="V232" s="6">
        <v>1222678</v>
      </c>
    </row>
    <row r="233" spans="1:22" x14ac:dyDescent="0.25">
      <c r="A233">
        <v>2026</v>
      </c>
      <c r="B233" s="1" t="s">
        <v>18</v>
      </c>
      <c r="C233" t="s">
        <v>53</v>
      </c>
      <c r="D233" s="1" t="s">
        <v>635</v>
      </c>
      <c r="E233" t="s">
        <v>310</v>
      </c>
      <c r="F233" s="6">
        <v>270338</v>
      </c>
      <c r="G233" s="6">
        <v>218769</v>
      </c>
      <c r="H233" s="6">
        <v>46857</v>
      </c>
      <c r="I233" s="6">
        <v>171912</v>
      </c>
      <c r="J233" s="6">
        <v>51569</v>
      </c>
      <c r="K233">
        <v>0</v>
      </c>
      <c r="L233" s="6">
        <v>223481</v>
      </c>
      <c r="M233">
        <v>0</v>
      </c>
      <c r="N233">
        <v>0</v>
      </c>
      <c r="O233">
        <v>0</v>
      </c>
      <c r="P233" s="6">
        <v>23232</v>
      </c>
      <c r="Q233" s="6">
        <v>0</v>
      </c>
      <c r="R233" s="6">
        <v>45467</v>
      </c>
      <c r="S233" s="6">
        <v>49967</v>
      </c>
      <c r="T233" s="6">
        <v>342147</v>
      </c>
      <c r="U233" s="6">
        <v>195144</v>
      </c>
      <c r="V233" s="6">
        <v>147003</v>
      </c>
    </row>
    <row r="234" spans="1:22" x14ac:dyDescent="0.25">
      <c r="A234">
        <v>2026</v>
      </c>
      <c r="B234" s="1" t="s">
        <v>14</v>
      </c>
      <c r="C234" t="s">
        <v>49</v>
      </c>
      <c r="D234" s="1" t="s">
        <v>636</v>
      </c>
      <c r="E234" t="s">
        <v>311</v>
      </c>
      <c r="F234" s="6">
        <v>265615</v>
      </c>
      <c r="G234" s="6">
        <v>204165</v>
      </c>
      <c r="H234" s="6">
        <v>43729</v>
      </c>
      <c r="I234" s="6">
        <v>160436</v>
      </c>
      <c r="J234" s="6">
        <v>61450</v>
      </c>
      <c r="K234" s="6">
        <v>432</v>
      </c>
      <c r="L234" s="6">
        <v>222318</v>
      </c>
      <c r="M234">
        <v>0</v>
      </c>
      <c r="N234">
        <v>0</v>
      </c>
      <c r="O234">
        <v>0</v>
      </c>
      <c r="P234" s="6">
        <v>28102</v>
      </c>
      <c r="Q234" s="6">
        <v>0</v>
      </c>
      <c r="R234" s="6">
        <v>48613</v>
      </c>
      <c r="S234" s="6">
        <v>54431</v>
      </c>
      <c r="T234" s="6">
        <v>353464</v>
      </c>
      <c r="U234" s="6">
        <v>188538</v>
      </c>
      <c r="V234" s="6">
        <v>164926</v>
      </c>
    </row>
    <row r="235" spans="1:22" x14ac:dyDescent="0.25">
      <c r="A235">
        <v>2026</v>
      </c>
      <c r="B235" s="1" t="s">
        <v>13</v>
      </c>
      <c r="C235" t="s">
        <v>48</v>
      </c>
      <c r="D235" s="1" t="s">
        <v>637</v>
      </c>
      <c r="E235" t="s">
        <v>312</v>
      </c>
      <c r="F235" s="6">
        <v>300222</v>
      </c>
      <c r="G235" s="6">
        <v>228067</v>
      </c>
      <c r="H235" s="6">
        <v>48849</v>
      </c>
      <c r="I235" s="6">
        <v>179218</v>
      </c>
      <c r="J235" s="6">
        <v>72155</v>
      </c>
      <c r="K235" s="6">
        <v>5855</v>
      </c>
      <c r="L235" s="6">
        <v>257228</v>
      </c>
      <c r="M235">
        <v>591</v>
      </c>
      <c r="N235">
        <v>187</v>
      </c>
      <c r="O235">
        <v>778</v>
      </c>
      <c r="P235" s="6">
        <v>30335</v>
      </c>
      <c r="Q235" s="6">
        <v>0</v>
      </c>
      <c r="R235" s="6">
        <v>48619</v>
      </c>
      <c r="S235" s="6">
        <v>54154</v>
      </c>
      <c r="T235" s="6">
        <v>391114</v>
      </c>
      <c r="U235" s="6">
        <v>210144</v>
      </c>
      <c r="V235" s="6">
        <v>180970</v>
      </c>
    </row>
    <row r="236" spans="1:22" x14ac:dyDescent="0.25">
      <c r="A236">
        <v>2026</v>
      </c>
      <c r="B236" s="1" t="s">
        <v>20</v>
      </c>
      <c r="C236" t="s">
        <v>55</v>
      </c>
      <c r="D236" s="1" t="s">
        <v>638</v>
      </c>
      <c r="E236" t="s">
        <v>313</v>
      </c>
      <c r="F236" s="6">
        <v>380275</v>
      </c>
      <c r="G236" s="6">
        <v>300630</v>
      </c>
      <c r="H236" s="6">
        <v>64390</v>
      </c>
      <c r="I236" s="6">
        <v>236240</v>
      </c>
      <c r="J236" s="6">
        <v>79645</v>
      </c>
      <c r="K236" s="6">
        <v>26248</v>
      </c>
      <c r="L236" s="6">
        <v>342133</v>
      </c>
      <c r="M236">
        <v>615</v>
      </c>
      <c r="N236">
        <v>164</v>
      </c>
      <c r="O236">
        <v>779</v>
      </c>
      <c r="P236" s="6">
        <v>41747</v>
      </c>
      <c r="Q236" s="6">
        <v>0</v>
      </c>
      <c r="R236" s="6">
        <v>63235</v>
      </c>
      <c r="S236" s="6">
        <v>69920</v>
      </c>
      <c r="T236" s="6">
        <v>517814</v>
      </c>
      <c r="U236" s="6">
        <v>278603</v>
      </c>
      <c r="V236" s="6">
        <v>239211</v>
      </c>
    </row>
    <row r="237" spans="1:22" x14ac:dyDescent="0.25">
      <c r="A237">
        <v>2026</v>
      </c>
      <c r="B237" s="1" t="s">
        <v>19</v>
      </c>
      <c r="C237" t="s">
        <v>54</v>
      </c>
      <c r="D237" s="1" t="s">
        <v>639</v>
      </c>
      <c r="E237" t="s">
        <v>314</v>
      </c>
      <c r="F237" s="6">
        <v>143788</v>
      </c>
      <c r="G237" s="6">
        <v>111570</v>
      </c>
      <c r="H237" s="6">
        <v>23897</v>
      </c>
      <c r="I237" s="6">
        <v>87673</v>
      </c>
      <c r="J237" s="6">
        <v>32218</v>
      </c>
      <c r="K237" s="6">
        <v>0</v>
      </c>
      <c r="L237" s="6">
        <v>119891</v>
      </c>
      <c r="M237">
        <v>210</v>
      </c>
      <c r="N237">
        <v>60</v>
      </c>
      <c r="O237">
        <v>270</v>
      </c>
      <c r="P237" s="6">
        <v>14500</v>
      </c>
      <c r="Q237" s="6">
        <v>0</v>
      </c>
      <c r="R237" s="6">
        <v>33222</v>
      </c>
      <c r="S237" s="6">
        <v>37188</v>
      </c>
      <c r="T237" s="6">
        <v>205071</v>
      </c>
      <c r="U237" s="6">
        <v>102383</v>
      </c>
      <c r="V237" s="6">
        <v>102688</v>
      </c>
    </row>
    <row r="238" spans="1:22" x14ac:dyDescent="0.25">
      <c r="A238">
        <v>2026</v>
      </c>
      <c r="B238" s="1" t="s">
        <v>13</v>
      </c>
      <c r="C238" t="s">
        <v>48</v>
      </c>
      <c r="D238" s="1" t="s">
        <v>640</v>
      </c>
      <c r="E238" t="s">
        <v>315</v>
      </c>
      <c r="F238" s="6">
        <v>145026</v>
      </c>
      <c r="G238" s="6">
        <v>110171</v>
      </c>
      <c r="H238" s="6">
        <v>23596</v>
      </c>
      <c r="I238" s="6">
        <v>86575</v>
      </c>
      <c r="J238" s="6">
        <v>34855</v>
      </c>
      <c r="K238">
        <v>0</v>
      </c>
      <c r="L238" s="6">
        <v>121430</v>
      </c>
      <c r="M238">
        <v>287</v>
      </c>
      <c r="N238">
        <v>91</v>
      </c>
      <c r="O238">
        <v>378</v>
      </c>
      <c r="P238" s="6">
        <v>14382</v>
      </c>
      <c r="Q238" s="6">
        <v>0</v>
      </c>
      <c r="R238" s="6">
        <v>23298</v>
      </c>
      <c r="S238" s="6">
        <v>25950</v>
      </c>
      <c r="T238" s="6">
        <v>185438</v>
      </c>
      <c r="U238" s="6">
        <v>101244</v>
      </c>
      <c r="V238" s="6">
        <v>84194</v>
      </c>
    </row>
    <row r="239" spans="1:22" x14ac:dyDescent="0.25">
      <c r="A239">
        <v>2026</v>
      </c>
      <c r="B239" s="1" t="s">
        <v>19</v>
      </c>
      <c r="C239" t="s">
        <v>54</v>
      </c>
      <c r="D239" s="1" t="s">
        <v>641</v>
      </c>
      <c r="E239" t="s">
        <v>316</v>
      </c>
      <c r="F239" s="6">
        <v>155562</v>
      </c>
      <c r="G239" s="6">
        <v>120706</v>
      </c>
      <c r="H239" s="6">
        <v>25853</v>
      </c>
      <c r="I239" s="6">
        <v>94853</v>
      </c>
      <c r="J239" s="6">
        <v>34856</v>
      </c>
      <c r="K239">
        <v>242</v>
      </c>
      <c r="L239" s="6">
        <v>129951</v>
      </c>
      <c r="M239">
        <v>226</v>
      </c>
      <c r="N239">
        <v>66</v>
      </c>
      <c r="O239">
        <v>292</v>
      </c>
      <c r="P239" s="6">
        <v>15707</v>
      </c>
      <c r="Q239" s="6">
        <v>0</v>
      </c>
      <c r="R239" s="6">
        <v>23628</v>
      </c>
      <c r="S239" s="6">
        <v>26448</v>
      </c>
      <c r="T239" s="6">
        <v>196026</v>
      </c>
      <c r="U239" s="6">
        <v>110786</v>
      </c>
      <c r="V239" s="6">
        <v>85240</v>
      </c>
    </row>
    <row r="240" spans="1:22" x14ac:dyDescent="0.25">
      <c r="A240">
        <v>2026</v>
      </c>
      <c r="B240" s="1" t="s">
        <v>20</v>
      </c>
      <c r="C240" t="s">
        <v>55</v>
      </c>
      <c r="D240" s="1" t="s">
        <v>642</v>
      </c>
      <c r="E240" t="s">
        <v>317</v>
      </c>
      <c r="F240" s="6">
        <v>294779</v>
      </c>
      <c r="G240" s="6">
        <v>233041</v>
      </c>
      <c r="H240" s="6">
        <v>49914</v>
      </c>
      <c r="I240" s="6">
        <v>183127</v>
      </c>
      <c r="J240" s="6">
        <v>61738</v>
      </c>
      <c r="K240">
        <v>0</v>
      </c>
      <c r="L240" s="6">
        <v>244865</v>
      </c>
      <c r="M240">
        <v>475</v>
      </c>
      <c r="N240">
        <v>125</v>
      </c>
      <c r="O240">
        <v>600</v>
      </c>
      <c r="P240" s="6">
        <v>30270</v>
      </c>
      <c r="Q240" s="6">
        <v>0</v>
      </c>
      <c r="R240" s="6">
        <v>47313</v>
      </c>
      <c r="S240" s="6">
        <v>52314</v>
      </c>
      <c r="T240" s="6">
        <v>375362</v>
      </c>
      <c r="U240" s="6">
        <v>213871</v>
      </c>
      <c r="V240" s="6">
        <v>161491</v>
      </c>
    </row>
    <row r="241" spans="1:22" x14ac:dyDescent="0.25">
      <c r="A241">
        <v>2026</v>
      </c>
      <c r="B241" s="1" t="s">
        <v>19</v>
      </c>
      <c r="C241" t="s">
        <v>54</v>
      </c>
      <c r="D241" s="1" t="s">
        <v>643</v>
      </c>
      <c r="E241" t="s">
        <v>318</v>
      </c>
      <c r="F241" s="6">
        <v>304920</v>
      </c>
      <c r="G241" s="6">
        <v>236598</v>
      </c>
      <c r="H241" s="6">
        <v>50675</v>
      </c>
      <c r="I241" s="6">
        <v>185923</v>
      </c>
      <c r="J241" s="6">
        <v>68322</v>
      </c>
      <c r="K241" s="6">
        <v>11651</v>
      </c>
      <c r="L241" s="6">
        <v>265896</v>
      </c>
      <c r="M241">
        <v>444</v>
      </c>
      <c r="N241">
        <v>129</v>
      </c>
      <c r="O241">
        <v>573</v>
      </c>
      <c r="P241" s="6">
        <v>31489</v>
      </c>
      <c r="Q241" s="6">
        <v>0</v>
      </c>
      <c r="R241" s="6">
        <v>80021</v>
      </c>
      <c r="S241" s="6">
        <v>89572</v>
      </c>
      <c r="T241" s="6">
        <v>467551</v>
      </c>
      <c r="U241" s="6">
        <v>217857</v>
      </c>
      <c r="V241" s="6">
        <v>249694</v>
      </c>
    </row>
    <row r="242" spans="1:22" x14ac:dyDescent="0.25">
      <c r="A242">
        <v>2026</v>
      </c>
      <c r="B242" s="1" t="s">
        <v>18</v>
      </c>
      <c r="C242" t="s">
        <v>53</v>
      </c>
      <c r="D242" s="1" t="s">
        <v>644</v>
      </c>
      <c r="E242" t="s">
        <v>319</v>
      </c>
      <c r="F242" s="6">
        <v>379972</v>
      </c>
      <c r="G242" s="6">
        <v>307489</v>
      </c>
      <c r="H242" s="6">
        <v>65859</v>
      </c>
      <c r="I242" s="6">
        <v>241630</v>
      </c>
      <c r="J242" s="6">
        <v>72483</v>
      </c>
      <c r="K242">
        <v>0</v>
      </c>
      <c r="L242" s="6">
        <v>314113</v>
      </c>
      <c r="M242">
        <v>0</v>
      </c>
      <c r="N242">
        <v>0</v>
      </c>
      <c r="O242">
        <v>0</v>
      </c>
      <c r="P242" s="6">
        <v>32654</v>
      </c>
      <c r="Q242" s="6">
        <v>0</v>
      </c>
      <c r="R242" s="6">
        <v>65898</v>
      </c>
      <c r="S242" s="6">
        <v>72420</v>
      </c>
      <c r="T242" s="6">
        <v>485085</v>
      </c>
      <c r="U242" s="6">
        <v>274284</v>
      </c>
      <c r="V242" s="6">
        <v>210801</v>
      </c>
    </row>
    <row r="243" spans="1:22" x14ac:dyDescent="0.25">
      <c r="A243">
        <v>2026</v>
      </c>
      <c r="B243" s="1" t="s">
        <v>15</v>
      </c>
      <c r="C243" t="s">
        <v>50</v>
      </c>
      <c r="D243" s="1" t="s">
        <v>645</v>
      </c>
      <c r="E243" t="s">
        <v>320</v>
      </c>
      <c r="F243" s="6">
        <v>166126</v>
      </c>
      <c r="G243" s="6">
        <v>130095</v>
      </c>
      <c r="H243" s="6">
        <v>27864</v>
      </c>
      <c r="I243" s="6">
        <v>102231</v>
      </c>
      <c r="J243" s="6">
        <v>36031</v>
      </c>
      <c r="K243" s="6">
        <v>3481</v>
      </c>
      <c r="L243" s="6">
        <v>141743</v>
      </c>
      <c r="M243">
        <v>160</v>
      </c>
      <c r="N243">
        <v>44</v>
      </c>
      <c r="O243">
        <v>204</v>
      </c>
      <c r="P243" s="6">
        <v>20887</v>
      </c>
      <c r="Q243" s="6">
        <v>0</v>
      </c>
      <c r="R243" s="6">
        <v>26899</v>
      </c>
      <c r="S243" s="6">
        <v>29985</v>
      </c>
      <c r="T243" s="6">
        <v>219718</v>
      </c>
      <c r="U243" s="6">
        <v>123278</v>
      </c>
      <c r="V243" s="6">
        <v>96440</v>
      </c>
    </row>
    <row r="244" spans="1:22" x14ac:dyDescent="0.25">
      <c r="A244">
        <v>2026</v>
      </c>
      <c r="B244" s="1" t="s">
        <v>14</v>
      </c>
      <c r="C244" t="s">
        <v>49</v>
      </c>
      <c r="D244" s="1" t="s">
        <v>646</v>
      </c>
      <c r="E244" t="s">
        <v>321</v>
      </c>
      <c r="F244" s="6">
        <v>78263</v>
      </c>
      <c r="G244" s="6">
        <v>60157</v>
      </c>
      <c r="H244" s="6">
        <v>12884</v>
      </c>
      <c r="I244" s="6">
        <v>47273</v>
      </c>
      <c r="J244" s="6">
        <v>18106</v>
      </c>
      <c r="K244" s="6">
        <v>8212</v>
      </c>
      <c r="L244" s="6">
        <v>73591</v>
      </c>
      <c r="M244">
        <v>0</v>
      </c>
      <c r="N244">
        <v>0</v>
      </c>
      <c r="O244">
        <v>0</v>
      </c>
      <c r="P244" s="6">
        <v>8280</v>
      </c>
      <c r="Q244">
        <v>0</v>
      </c>
      <c r="R244" s="6">
        <v>12741</v>
      </c>
      <c r="S244" s="6">
        <v>14266</v>
      </c>
      <c r="T244" s="6">
        <v>108878</v>
      </c>
      <c r="U244" s="6">
        <v>55553</v>
      </c>
      <c r="V244" s="6">
        <v>53325</v>
      </c>
    </row>
    <row r="245" spans="1:22" x14ac:dyDescent="0.25">
      <c r="A245">
        <v>2026</v>
      </c>
      <c r="B245" s="1" t="s">
        <v>18</v>
      </c>
      <c r="C245" t="s">
        <v>53</v>
      </c>
      <c r="D245" s="1" t="s">
        <v>647</v>
      </c>
      <c r="E245" t="s">
        <v>322</v>
      </c>
      <c r="F245" s="6">
        <v>395445</v>
      </c>
      <c r="G245" s="6">
        <v>320011</v>
      </c>
      <c r="H245" s="6">
        <v>68541</v>
      </c>
      <c r="I245" s="6">
        <v>251470</v>
      </c>
      <c r="J245" s="6">
        <v>75434</v>
      </c>
      <c r="K245">
        <v>0</v>
      </c>
      <c r="L245" s="6">
        <v>326904</v>
      </c>
      <c r="M245">
        <v>0</v>
      </c>
      <c r="N245">
        <v>0</v>
      </c>
      <c r="O245">
        <v>0</v>
      </c>
      <c r="P245" s="6">
        <v>33984</v>
      </c>
      <c r="Q245" s="6">
        <v>0</v>
      </c>
      <c r="R245" s="6">
        <v>70762</v>
      </c>
      <c r="S245" s="6">
        <v>77766</v>
      </c>
      <c r="T245" s="6">
        <v>509416</v>
      </c>
      <c r="U245" s="6">
        <v>285454</v>
      </c>
      <c r="V245" s="6">
        <v>223962</v>
      </c>
    </row>
    <row r="246" spans="1:22" x14ac:dyDescent="0.25">
      <c r="A246">
        <v>2026</v>
      </c>
      <c r="B246" s="1" t="s">
        <v>14</v>
      </c>
      <c r="C246" t="s">
        <v>49</v>
      </c>
      <c r="D246" s="1" t="s">
        <v>648</v>
      </c>
      <c r="E246" t="s">
        <v>323</v>
      </c>
      <c r="F246" s="6">
        <v>144967</v>
      </c>
      <c r="G246" s="6">
        <v>111429</v>
      </c>
      <c r="H246" s="6">
        <v>23867</v>
      </c>
      <c r="I246" s="6">
        <v>87562</v>
      </c>
      <c r="J246" s="6">
        <v>33538</v>
      </c>
      <c r="K246" s="6">
        <v>0</v>
      </c>
      <c r="L246" s="6">
        <v>121100</v>
      </c>
      <c r="M246">
        <v>0</v>
      </c>
      <c r="N246">
        <v>0</v>
      </c>
      <c r="O246">
        <v>0</v>
      </c>
      <c r="P246" s="6">
        <v>15338</v>
      </c>
      <c r="Q246" s="6">
        <v>0</v>
      </c>
      <c r="R246" s="6">
        <v>24437</v>
      </c>
      <c r="S246" s="6">
        <v>27362</v>
      </c>
      <c r="T246" s="6">
        <v>188237</v>
      </c>
      <c r="U246" s="6">
        <v>102900</v>
      </c>
      <c r="V246" s="6">
        <v>85337</v>
      </c>
    </row>
    <row r="247" spans="1:22" x14ac:dyDescent="0.25">
      <c r="A247">
        <v>2026</v>
      </c>
      <c r="B247" s="1" t="s">
        <v>19</v>
      </c>
      <c r="C247" t="s">
        <v>54</v>
      </c>
      <c r="D247" s="1" t="s">
        <v>649</v>
      </c>
      <c r="E247" t="s">
        <v>324</v>
      </c>
      <c r="F247" s="6">
        <v>94445</v>
      </c>
      <c r="G247" s="6">
        <v>73284</v>
      </c>
      <c r="H247" s="6">
        <v>15696</v>
      </c>
      <c r="I247" s="6">
        <v>57588</v>
      </c>
      <c r="J247" s="6">
        <v>21161</v>
      </c>
      <c r="K247" s="6">
        <v>10514</v>
      </c>
      <c r="L247" s="6">
        <v>89263</v>
      </c>
      <c r="M247">
        <v>138</v>
      </c>
      <c r="N247">
        <v>40</v>
      </c>
      <c r="O247">
        <v>178</v>
      </c>
      <c r="P247" s="6">
        <v>9560</v>
      </c>
      <c r="Q247" s="6">
        <v>0</v>
      </c>
      <c r="R247" s="6">
        <v>15143</v>
      </c>
      <c r="S247" s="6">
        <v>16950</v>
      </c>
      <c r="T247" s="6">
        <v>131094</v>
      </c>
      <c r="U247" s="6">
        <v>67286</v>
      </c>
      <c r="V247" s="6">
        <v>63808</v>
      </c>
    </row>
    <row r="248" spans="1:22" x14ac:dyDescent="0.25">
      <c r="A248">
        <v>2026</v>
      </c>
      <c r="B248" s="1" t="s">
        <v>19</v>
      </c>
      <c r="C248" t="s">
        <v>54</v>
      </c>
      <c r="D248" s="1" t="s">
        <v>650</v>
      </c>
      <c r="E248" t="s">
        <v>325</v>
      </c>
      <c r="F248" s="6">
        <v>574103</v>
      </c>
      <c r="G248" s="6">
        <v>445467</v>
      </c>
      <c r="H248" s="6">
        <v>95412</v>
      </c>
      <c r="I248" s="6">
        <v>350055</v>
      </c>
      <c r="J248" s="6">
        <v>128636</v>
      </c>
      <c r="K248">
        <v>0</v>
      </c>
      <c r="L248" s="6">
        <v>478691</v>
      </c>
      <c r="M248">
        <v>836</v>
      </c>
      <c r="N248">
        <v>242</v>
      </c>
      <c r="O248" s="6">
        <v>1078</v>
      </c>
      <c r="P248" s="6">
        <v>57895</v>
      </c>
      <c r="Q248" s="6">
        <v>0</v>
      </c>
      <c r="R248" s="6">
        <v>96012</v>
      </c>
      <c r="S248" s="6">
        <v>107471</v>
      </c>
      <c r="T248" s="6">
        <v>741147</v>
      </c>
      <c r="U248" s="6">
        <v>408786</v>
      </c>
      <c r="V248" s="6">
        <v>332361</v>
      </c>
    </row>
    <row r="249" spans="1:22" x14ac:dyDescent="0.25">
      <c r="A249">
        <v>2026</v>
      </c>
      <c r="B249" s="1" t="s">
        <v>21</v>
      </c>
      <c r="C249" t="s">
        <v>56</v>
      </c>
      <c r="D249" s="1" t="s">
        <v>651</v>
      </c>
      <c r="E249" t="s">
        <v>326</v>
      </c>
      <c r="F249" s="6">
        <v>83716</v>
      </c>
      <c r="G249" s="6">
        <v>66687</v>
      </c>
      <c r="H249" s="6">
        <v>14283</v>
      </c>
      <c r="I249" s="6">
        <v>52404</v>
      </c>
      <c r="J249" s="6">
        <v>17029</v>
      </c>
      <c r="K249" s="6">
        <v>9183</v>
      </c>
      <c r="L249" s="6">
        <v>78616</v>
      </c>
      <c r="M249">
        <v>152</v>
      </c>
      <c r="N249">
        <v>39</v>
      </c>
      <c r="O249">
        <v>191</v>
      </c>
      <c r="P249" s="6">
        <v>8669</v>
      </c>
      <c r="Q249">
        <v>0</v>
      </c>
      <c r="R249" s="6">
        <v>14421</v>
      </c>
      <c r="S249" s="6">
        <v>15857</v>
      </c>
      <c r="T249" s="6">
        <v>117754</v>
      </c>
      <c r="U249" s="6">
        <v>61225</v>
      </c>
      <c r="V249" s="6">
        <v>56529</v>
      </c>
    </row>
    <row r="250" spans="1:22" x14ac:dyDescent="0.25">
      <c r="A250">
        <v>2026</v>
      </c>
      <c r="B250" s="1" t="s">
        <v>19</v>
      </c>
      <c r="C250" t="s">
        <v>54</v>
      </c>
      <c r="D250" s="1" t="s">
        <v>652</v>
      </c>
      <c r="E250" t="s">
        <v>327</v>
      </c>
      <c r="F250" s="6">
        <v>461820</v>
      </c>
      <c r="G250" s="6">
        <v>358342</v>
      </c>
      <c r="H250" s="6">
        <v>76751</v>
      </c>
      <c r="I250" s="6">
        <v>281591</v>
      </c>
      <c r="J250" s="6">
        <v>103478</v>
      </c>
      <c r="K250">
        <v>0</v>
      </c>
      <c r="L250" s="6">
        <v>385069</v>
      </c>
      <c r="M250">
        <v>671</v>
      </c>
      <c r="N250">
        <v>193</v>
      </c>
      <c r="O250">
        <v>864</v>
      </c>
      <c r="P250" s="6">
        <v>46571</v>
      </c>
      <c r="Q250" s="6">
        <v>0</v>
      </c>
      <c r="R250" s="6">
        <v>85634</v>
      </c>
      <c r="S250" s="6">
        <v>95855</v>
      </c>
      <c r="T250" s="6">
        <v>613993</v>
      </c>
      <c r="U250" s="6">
        <v>328833</v>
      </c>
      <c r="V250" s="6">
        <v>285160</v>
      </c>
    </row>
    <row r="251" spans="1:22" x14ac:dyDescent="0.25">
      <c r="A251">
        <v>2026</v>
      </c>
      <c r="B251" s="1" t="s">
        <v>20</v>
      </c>
      <c r="C251" t="s">
        <v>55</v>
      </c>
      <c r="D251" s="1" t="s">
        <v>653</v>
      </c>
      <c r="E251" t="s">
        <v>328</v>
      </c>
      <c r="F251" s="6">
        <v>424069</v>
      </c>
      <c r="G251" s="6">
        <v>335252</v>
      </c>
      <c r="H251" s="6">
        <v>71806</v>
      </c>
      <c r="I251" s="6">
        <v>263446</v>
      </c>
      <c r="J251" s="6">
        <v>88817</v>
      </c>
      <c r="K251">
        <v>0</v>
      </c>
      <c r="L251" s="6">
        <v>352263</v>
      </c>
      <c r="M251">
        <v>684</v>
      </c>
      <c r="N251">
        <v>182</v>
      </c>
      <c r="O251">
        <v>866</v>
      </c>
      <c r="P251" s="6">
        <v>43546</v>
      </c>
      <c r="Q251" s="6">
        <v>0</v>
      </c>
      <c r="R251" s="6">
        <v>69539</v>
      </c>
      <c r="S251" s="6">
        <v>76890</v>
      </c>
      <c r="T251" s="6">
        <v>543104</v>
      </c>
      <c r="U251" s="6">
        <v>307676</v>
      </c>
      <c r="V251" s="6">
        <v>235428</v>
      </c>
    </row>
    <row r="252" spans="1:22" x14ac:dyDescent="0.25">
      <c r="A252">
        <v>2026</v>
      </c>
      <c r="B252" s="1" t="s">
        <v>19</v>
      </c>
      <c r="C252" t="s">
        <v>54</v>
      </c>
      <c r="D252" s="1" t="s">
        <v>654</v>
      </c>
      <c r="E252" t="s">
        <v>329</v>
      </c>
      <c r="F252" s="6">
        <v>267824</v>
      </c>
      <c r="G252" s="6">
        <v>207814</v>
      </c>
      <c r="H252" s="6">
        <v>44511</v>
      </c>
      <c r="I252" s="6">
        <v>163303</v>
      </c>
      <c r="J252" s="6">
        <v>60010</v>
      </c>
      <c r="K252" s="6">
        <v>0</v>
      </c>
      <c r="L252" s="6">
        <v>223313</v>
      </c>
      <c r="M252">
        <v>389</v>
      </c>
      <c r="N252">
        <v>113</v>
      </c>
      <c r="O252">
        <v>502</v>
      </c>
      <c r="P252" s="6">
        <v>27008</v>
      </c>
      <c r="Q252" s="6">
        <v>0</v>
      </c>
      <c r="R252" s="6">
        <v>45036</v>
      </c>
      <c r="S252" s="6">
        <v>50411</v>
      </c>
      <c r="T252" s="6">
        <v>346270</v>
      </c>
      <c r="U252" s="6">
        <v>190700</v>
      </c>
      <c r="V252" s="6">
        <v>155570</v>
      </c>
    </row>
    <row r="253" spans="1:22" x14ac:dyDescent="0.25">
      <c r="A253">
        <v>2026</v>
      </c>
      <c r="B253" s="1" t="s">
        <v>20</v>
      </c>
      <c r="C253" t="s">
        <v>55</v>
      </c>
      <c r="D253" s="1" t="s">
        <v>655</v>
      </c>
      <c r="E253" t="s">
        <v>330</v>
      </c>
      <c r="F253" s="6">
        <v>142535</v>
      </c>
      <c r="G253" s="6">
        <v>112683</v>
      </c>
      <c r="H253" s="6">
        <v>24135</v>
      </c>
      <c r="I253" s="6">
        <v>88548</v>
      </c>
      <c r="J253" s="6">
        <v>29852</v>
      </c>
      <c r="K253" s="6">
        <v>7572</v>
      </c>
      <c r="L253" s="6">
        <v>125972</v>
      </c>
      <c r="M253">
        <v>229</v>
      </c>
      <c r="N253">
        <v>61</v>
      </c>
      <c r="O253">
        <v>290</v>
      </c>
      <c r="P253" s="6">
        <v>15415</v>
      </c>
      <c r="Q253" s="6">
        <v>0</v>
      </c>
      <c r="R253" s="6">
        <v>23981</v>
      </c>
      <c r="S253" s="6">
        <v>26516</v>
      </c>
      <c r="T253" s="6">
        <v>192174</v>
      </c>
      <c r="U253" s="6">
        <v>104192</v>
      </c>
      <c r="V253" s="6">
        <v>87982</v>
      </c>
    </row>
    <row r="254" spans="1:22" x14ac:dyDescent="0.25">
      <c r="A254">
        <v>2026</v>
      </c>
      <c r="B254" s="1" t="s">
        <v>21</v>
      </c>
      <c r="C254" t="s">
        <v>56</v>
      </c>
      <c r="D254" s="1" t="s">
        <v>656</v>
      </c>
      <c r="E254" t="s">
        <v>331</v>
      </c>
      <c r="F254" s="6">
        <v>213338</v>
      </c>
      <c r="G254" s="6">
        <v>169941</v>
      </c>
      <c r="H254" s="6">
        <v>36399</v>
      </c>
      <c r="I254" s="6">
        <v>133542</v>
      </c>
      <c r="J254" s="6">
        <v>43397</v>
      </c>
      <c r="K254">
        <v>0</v>
      </c>
      <c r="L254" s="6">
        <v>176939</v>
      </c>
      <c r="M254">
        <v>389</v>
      </c>
      <c r="N254">
        <v>100</v>
      </c>
      <c r="O254">
        <v>489</v>
      </c>
      <c r="P254" s="6">
        <v>21464</v>
      </c>
      <c r="Q254" s="6">
        <v>0</v>
      </c>
      <c r="R254" s="6">
        <v>36572</v>
      </c>
      <c r="S254" s="6">
        <v>40215</v>
      </c>
      <c r="T254" s="6">
        <v>275679</v>
      </c>
      <c r="U254" s="6">
        <v>155396</v>
      </c>
      <c r="V254" s="6">
        <v>120283</v>
      </c>
    </row>
    <row r="255" spans="1:22" x14ac:dyDescent="0.25">
      <c r="A255">
        <v>2026</v>
      </c>
      <c r="B255" s="1" t="s">
        <v>19</v>
      </c>
      <c r="C255" t="s">
        <v>54</v>
      </c>
      <c r="D255" s="1" t="s">
        <v>657</v>
      </c>
      <c r="E255" t="s">
        <v>332</v>
      </c>
      <c r="F255" s="6">
        <v>623183</v>
      </c>
      <c r="G255" s="6">
        <v>483549</v>
      </c>
      <c r="H255" s="6">
        <v>103568</v>
      </c>
      <c r="I255" s="6">
        <v>379981</v>
      </c>
      <c r="J255" s="6">
        <v>139634</v>
      </c>
      <c r="K255">
        <v>0</v>
      </c>
      <c r="L255" s="6">
        <v>519615</v>
      </c>
      <c r="M255">
        <v>905</v>
      </c>
      <c r="N255">
        <v>262</v>
      </c>
      <c r="O255" s="6">
        <v>1167</v>
      </c>
      <c r="P255" s="6">
        <v>62844</v>
      </c>
      <c r="Q255" s="6">
        <v>0</v>
      </c>
      <c r="R255" s="6">
        <v>148555</v>
      </c>
      <c r="S255" s="6">
        <v>166285</v>
      </c>
      <c r="T255" s="6">
        <v>898466</v>
      </c>
      <c r="U255" s="6">
        <v>443731</v>
      </c>
      <c r="V255" s="6">
        <v>454735</v>
      </c>
    </row>
    <row r="256" spans="1:22" x14ac:dyDescent="0.25">
      <c r="A256">
        <v>2026</v>
      </c>
      <c r="B256" s="1" t="s">
        <v>14</v>
      </c>
      <c r="C256" t="s">
        <v>49</v>
      </c>
      <c r="D256" s="1" t="s">
        <v>658</v>
      </c>
      <c r="E256" t="s">
        <v>333</v>
      </c>
      <c r="F256" s="6">
        <v>171679</v>
      </c>
      <c r="G256" s="6">
        <v>131961</v>
      </c>
      <c r="H256" s="6">
        <v>28264</v>
      </c>
      <c r="I256" s="6">
        <v>103697</v>
      </c>
      <c r="J256" s="6">
        <v>39718</v>
      </c>
      <c r="K256" s="6">
        <v>2897</v>
      </c>
      <c r="L256" s="6">
        <v>146312</v>
      </c>
      <c r="M256">
        <v>0</v>
      </c>
      <c r="N256">
        <v>0</v>
      </c>
      <c r="O256">
        <v>0</v>
      </c>
      <c r="P256" s="6">
        <v>18473</v>
      </c>
      <c r="Q256" s="6">
        <v>0</v>
      </c>
      <c r="R256" s="6">
        <v>28488</v>
      </c>
      <c r="S256" s="6">
        <v>31898</v>
      </c>
      <c r="T256" s="6">
        <v>225171</v>
      </c>
      <c r="U256" s="6">
        <v>122170</v>
      </c>
      <c r="V256" s="6">
        <v>103001</v>
      </c>
    </row>
    <row r="257" spans="1:22" x14ac:dyDescent="0.25">
      <c r="A257">
        <v>2026</v>
      </c>
      <c r="B257" s="1" t="s">
        <v>19</v>
      </c>
      <c r="C257" t="s">
        <v>54</v>
      </c>
      <c r="D257" s="1" t="s">
        <v>659</v>
      </c>
      <c r="E257" t="s">
        <v>334</v>
      </c>
      <c r="F257" s="6">
        <v>6014026</v>
      </c>
      <c r="G257" s="6">
        <v>4666492</v>
      </c>
      <c r="H257" s="6">
        <v>999488</v>
      </c>
      <c r="I257" s="6">
        <v>3667004</v>
      </c>
      <c r="J257" s="6">
        <v>1347534</v>
      </c>
      <c r="K257">
        <v>0</v>
      </c>
      <c r="L257" s="6">
        <v>5014538</v>
      </c>
      <c r="M257" s="6">
        <v>8744</v>
      </c>
      <c r="N257" s="6">
        <v>2525</v>
      </c>
      <c r="O257" s="6">
        <v>11269</v>
      </c>
      <c r="P257" s="6">
        <v>606475</v>
      </c>
      <c r="Q257" s="6">
        <v>0</v>
      </c>
      <c r="R257" s="6">
        <v>1053784</v>
      </c>
      <c r="S257" s="6">
        <v>1179554</v>
      </c>
      <c r="T257" s="6">
        <v>7865620</v>
      </c>
      <c r="U257" s="6">
        <v>4282223</v>
      </c>
      <c r="V257" s="6">
        <v>3583397</v>
      </c>
    </row>
    <row r="258" spans="1:22" x14ac:dyDescent="0.25">
      <c r="A258">
        <v>2026</v>
      </c>
      <c r="B258" s="1" t="s">
        <v>17</v>
      </c>
      <c r="C258" t="s">
        <v>52</v>
      </c>
      <c r="D258" s="1" t="s">
        <v>660</v>
      </c>
      <c r="E258" t="s">
        <v>335</v>
      </c>
      <c r="F258" s="6">
        <v>534527</v>
      </c>
      <c r="G258" s="6">
        <v>423740</v>
      </c>
      <c r="H258" s="6">
        <v>90758</v>
      </c>
      <c r="I258" s="6">
        <v>332982</v>
      </c>
      <c r="J258" s="6">
        <v>110787</v>
      </c>
      <c r="K258">
        <v>0</v>
      </c>
      <c r="L258" s="6">
        <v>443769</v>
      </c>
      <c r="M258">
        <v>472</v>
      </c>
      <c r="N258">
        <v>123</v>
      </c>
      <c r="O258">
        <v>595</v>
      </c>
      <c r="P258" s="6">
        <v>50787</v>
      </c>
      <c r="Q258" s="6">
        <v>0</v>
      </c>
      <c r="R258" s="6">
        <v>94416</v>
      </c>
      <c r="S258" s="6">
        <v>103831</v>
      </c>
      <c r="T258" s="6">
        <v>693398</v>
      </c>
      <c r="U258" s="6">
        <v>384241</v>
      </c>
      <c r="V258" s="6">
        <v>309157</v>
      </c>
    </row>
    <row r="259" spans="1:22" x14ac:dyDescent="0.25">
      <c r="A259">
        <v>2026</v>
      </c>
      <c r="B259" s="1" t="s">
        <v>14</v>
      </c>
      <c r="C259" t="s">
        <v>49</v>
      </c>
      <c r="D259" s="1" t="s">
        <v>661</v>
      </c>
      <c r="E259" t="s">
        <v>336</v>
      </c>
      <c r="F259" s="6">
        <v>361461</v>
      </c>
      <c r="G259" s="6">
        <v>277838</v>
      </c>
      <c r="H259" s="6">
        <v>59509</v>
      </c>
      <c r="I259" s="6">
        <v>218329</v>
      </c>
      <c r="J259" s="6">
        <v>83623</v>
      </c>
      <c r="K259" s="6">
        <v>1776</v>
      </c>
      <c r="L259" s="6">
        <v>303728</v>
      </c>
      <c r="M259">
        <v>0</v>
      </c>
      <c r="N259">
        <v>0</v>
      </c>
      <c r="O259">
        <v>0</v>
      </c>
      <c r="P259" s="6">
        <v>38455</v>
      </c>
      <c r="Q259" s="6">
        <v>0</v>
      </c>
      <c r="R259" s="6">
        <v>60505</v>
      </c>
      <c r="S259" s="6">
        <v>67746</v>
      </c>
      <c r="T259" s="6">
        <v>470434</v>
      </c>
      <c r="U259" s="6">
        <v>256784</v>
      </c>
      <c r="V259" s="6">
        <v>213650</v>
      </c>
    </row>
    <row r="260" spans="1:22" x14ac:dyDescent="0.25">
      <c r="A260">
        <v>2026</v>
      </c>
      <c r="B260" s="1" t="s">
        <v>14</v>
      </c>
      <c r="C260" t="s">
        <v>49</v>
      </c>
      <c r="D260" s="1" t="s">
        <v>662</v>
      </c>
      <c r="E260" t="s">
        <v>337</v>
      </c>
      <c r="F260" s="6">
        <v>241934</v>
      </c>
      <c r="G260" s="6">
        <v>185963</v>
      </c>
      <c r="H260" s="6">
        <v>39831</v>
      </c>
      <c r="I260" s="6">
        <v>146132</v>
      </c>
      <c r="J260" s="6">
        <v>55971</v>
      </c>
      <c r="K260">
        <v>0</v>
      </c>
      <c r="L260" s="6">
        <v>202103</v>
      </c>
      <c r="M260">
        <v>0</v>
      </c>
      <c r="N260">
        <v>0</v>
      </c>
      <c r="O260">
        <v>0</v>
      </c>
      <c r="P260" s="6">
        <v>25597</v>
      </c>
      <c r="Q260" s="6">
        <v>0</v>
      </c>
      <c r="R260" s="6">
        <v>40053</v>
      </c>
      <c r="S260" s="6">
        <v>44847</v>
      </c>
      <c r="T260" s="6">
        <v>312600</v>
      </c>
      <c r="U260" s="6">
        <v>171729</v>
      </c>
      <c r="V260" s="6">
        <v>140871</v>
      </c>
    </row>
    <row r="261" spans="1:22" x14ac:dyDescent="0.25">
      <c r="A261">
        <v>2026</v>
      </c>
      <c r="B261" s="1" t="s">
        <v>19</v>
      </c>
      <c r="C261" t="s">
        <v>54</v>
      </c>
      <c r="D261" s="1" t="s">
        <v>663</v>
      </c>
      <c r="E261" t="s">
        <v>338</v>
      </c>
      <c r="F261" s="6">
        <v>244174</v>
      </c>
      <c r="G261" s="6">
        <v>189463</v>
      </c>
      <c r="H261" s="6">
        <v>40580</v>
      </c>
      <c r="I261" s="6">
        <v>148883</v>
      </c>
      <c r="J261" s="6">
        <v>54711</v>
      </c>
      <c r="K261">
        <v>0</v>
      </c>
      <c r="L261" s="6">
        <v>203594</v>
      </c>
      <c r="M261">
        <v>356</v>
      </c>
      <c r="N261">
        <v>103</v>
      </c>
      <c r="O261">
        <v>459</v>
      </c>
      <c r="P261" s="6">
        <v>24623</v>
      </c>
      <c r="Q261" s="6">
        <v>0</v>
      </c>
      <c r="R261" s="6">
        <v>42948</v>
      </c>
      <c r="S261" s="6">
        <v>48073</v>
      </c>
      <c r="T261" s="6">
        <v>319697</v>
      </c>
      <c r="U261" s="6">
        <v>173862</v>
      </c>
      <c r="V261" s="6">
        <v>145835</v>
      </c>
    </row>
    <row r="262" spans="1:22" x14ac:dyDescent="0.25">
      <c r="A262">
        <v>2026</v>
      </c>
      <c r="B262" s="1" t="s">
        <v>20</v>
      </c>
      <c r="C262" t="s">
        <v>55</v>
      </c>
      <c r="D262" s="1" t="s">
        <v>664</v>
      </c>
      <c r="E262" t="s">
        <v>339</v>
      </c>
      <c r="F262" s="6">
        <v>74122</v>
      </c>
      <c r="G262" s="6">
        <v>58598</v>
      </c>
      <c r="H262" s="6">
        <v>12550</v>
      </c>
      <c r="I262" s="6">
        <v>46048</v>
      </c>
      <c r="J262" s="6">
        <v>15524</v>
      </c>
      <c r="K262" s="6">
        <v>5654</v>
      </c>
      <c r="L262" s="6">
        <v>67226</v>
      </c>
      <c r="M262">
        <v>119</v>
      </c>
      <c r="N262">
        <v>31</v>
      </c>
      <c r="O262">
        <v>150</v>
      </c>
      <c r="P262" s="6">
        <v>8051</v>
      </c>
      <c r="Q262">
        <v>0</v>
      </c>
      <c r="R262" s="6">
        <v>12218</v>
      </c>
      <c r="S262" s="6">
        <v>13510</v>
      </c>
      <c r="T262" s="6">
        <v>101155</v>
      </c>
      <c r="U262" s="6">
        <v>54217</v>
      </c>
      <c r="V262" s="6">
        <v>46938</v>
      </c>
    </row>
    <row r="263" spans="1:22" x14ac:dyDescent="0.25">
      <c r="A263">
        <v>2026</v>
      </c>
      <c r="B263" s="1" t="s">
        <v>15</v>
      </c>
      <c r="C263" t="s">
        <v>50</v>
      </c>
      <c r="D263" s="1" t="s">
        <v>665</v>
      </c>
      <c r="E263" t="s">
        <v>340</v>
      </c>
      <c r="F263" s="6">
        <v>557673</v>
      </c>
      <c r="G263" s="6">
        <v>436720</v>
      </c>
      <c r="H263" s="6">
        <v>93539</v>
      </c>
      <c r="I263" s="6">
        <v>343181</v>
      </c>
      <c r="J263" s="6">
        <v>120953</v>
      </c>
      <c r="K263" s="6">
        <v>8523</v>
      </c>
      <c r="L263" s="6">
        <v>472657</v>
      </c>
      <c r="M263">
        <v>533</v>
      </c>
      <c r="N263">
        <v>147</v>
      </c>
      <c r="O263">
        <v>680</v>
      </c>
      <c r="P263" s="6">
        <v>69726</v>
      </c>
      <c r="Q263" s="6">
        <v>0</v>
      </c>
      <c r="R263" s="6">
        <v>89447</v>
      </c>
      <c r="S263" s="6">
        <v>99709</v>
      </c>
      <c r="T263" s="6">
        <v>732219</v>
      </c>
      <c r="U263" s="6">
        <v>413440</v>
      </c>
      <c r="V263" s="6">
        <v>318779</v>
      </c>
    </row>
    <row r="264" spans="1:22" x14ac:dyDescent="0.25">
      <c r="A264">
        <v>2026</v>
      </c>
      <c r="B264" s="1" t="s">
        <v>13</v>
      </c>
      <c r="C264" t="s">
        <v>48</v>
      </c>
      <c r="D264" s="1" t="s">
        <v>666</v>
      </c>
      <c r="E264" t="s">
        <v>341</v>
      </c>
      <c r="F264" s="6">
        <v>232303</v>
      </c>
      <c r="G264" s="6">
        <v>176472</v>
      </c>
      <c r="H264" s="6">
        <v>37797</v>
      </c>
      <c r="I264" s="6">
        <v>138675</v>
      </c>
      <c r="J264" s="6">
        <v>55831</v>
      </c>
      <c r="K264">
        <v>0</v>
      </c>
      <c r="L264" s="6">
        <v>194506</v>
      </c>
      <c r="M264">
        <v>458</v>
      </c>
      <c r="N264">
        <v>145</v>
      </c>
      <c r="O264">
        <v>603</v>
      </c>
      <c r="P264" s="6">
        <v>23037</v>
      </c>
      <c r="Q264" s="6">
        <v>0</v>
      </c>
      <c r="R264" s="6">
        <v>45356</v>
      </c>
      <c r="S264" s="6">
        <v>50520</v>
      </c>
      <c r="T264" s="6">
        <v>314022</v>
      </c>
      <c r="U264" s="6">
        <v>162170</v>
      </c>
      <c r="V264" s="6">
        <v>151852</v>
      </c>
    </row>
    <row r="265" spans="1:22" x14ac:dyDescent="0.25">
      <c r="A265">
        <v>2026</v>
      </c>
      <c r="B265" s="1" t="s">
        <v>18</v>
      </c>
      <c r="C265" t="s">
        <v>53</v>
      </c>
      <c r="D265" s="1" t="s">
        <v>667</v>
      </c>
      <c r="E265" t="s">
        <v>342</v>
      </c>
      <c r="F265" s="6">
        <v>2847906</v>
      </c>
      <c r="G265" s="6">
        <v>2304644</v>
      </c>
      <c r="H265" s="6">
        <v>493618</v>
      </c>
      <c r="I265" s="6">
        <v>1811026</v>
      </c>
      <c r="J265" s="6">
        <v>543262</v>
      </c>
      <c r="K265">
        <v>0</v>
      </c>
      <c r="L265" s="6">
        <v>2354288</v>
      </c>
      <c r="M265">
        <v>0</v>
      </c>
      <c r="N265">
        <v>0</v>
      </c>
      <c r="O265">
        <v>0</v>
      </c>
      <c r="P265" s="6">
        <v>244743</v>
      </c>
      <c r="Q265" s="6">
        <v>0</v>
      </c>
      <c r="R265" s="6">
        <v>500719</v>
      </c>
      <c r="S265" s="6">
        <v>550282</v>
      </c>
      <c r="T265" s="6">
        <v>3650032</v>
      </c>
      <c r="U265" s="6">
        <v>2055769</v>
      </c>
      <c r="V265" s="6">
        <v>1594263</v>
      </c>
    </row>
    <row r="266" spans="1:22" x14ac:dyDescent="0.25">
      <c r="A266">
        <v>2026</v>
      </c>
      <c r="B266" s="1" t="s">
        <v>14</v>
      </c>
      <c r="C266" t="s">
        <v>49</v>
      </c>
      <c r="D266" s="1" t="s">
        <v>668</v>
      </c>
      <c r="E266" t="s">
        <v>343</v>
      </c>
      <c r="F266" s="6">
        <v>441100</v>
      </c>
      <c r="G266" s="6">
        <v>339052</v>
      </c>
      <c r="H266" s="6">
        <v>72619</v>
      </c>
      <c r="I266" s="6">
        <v>266433</v>
      </c>
      <c r="J266" s="6">
        <v>102048</v>
      </c>
      <c r="K266">
        <v>0</v>
      </c>
      <c r="L266" s="6">
        <v>368481</v>
      </c>
      <c r="M266">
        <v>0</v>
      </c>
      <c r="N266">
        <v>0</v>
      </c>
      <c r="O266">
        <v>0</v>
      </c>
      <c r="P266" s="6">
        <v>46669</v>
      </c>
      <c r="Q266" s="6">
        <v>0</v>
      </c>
      <c r="R266" s="6">
        <v>73834</v>
      </c>
      <c r="S266" s="6">
        <v>82671</v>
      </c>
      <c r="T266" s="6">
        <v>571655</v>
      </c>
      <c r="U266" s="6">
        <v>313102</v>
      </c>
      <c r="V266" s="6">
        <v>258553</v>
      </c>
    </row>
    <row r="267" spans="1:22" x14ac:dyDescent="0.25">
      <c r="A267">
        <v>2026</v>
      </c>
      <c r="B267" s="1" t="s">
        <v>18</v>
      </c>
      <c r="C267" t="s">
        <v>53</v>
      </c>
      <c r="D267" s="1" t="s">
        <v>669</v>
      </c>
      <c r="E267" t="s">
        <v>344</v>
      </c>
      <c r="F267" s="6">
        <v>183732</v>
      </c>
      <c r="G267" s="6">
        <v>148684</v>
      </c>
      <c r="H267" s="6">
        <v>31846</v>
      </c>
      <c r="I267" s="6">
        <v>116838</v>
      </c>
      <c r="J267" s="6">
        <v>35048</v>
      </c>
      <c r="K267" s="6">
        <v>6824</v>
      </c>
      <c r="L267" s="6">
        <v>158710</v>
      </c>
      <c r="M267">
        <v>0</v>
      </c>
      <c r="N267">
        <v>0</v>
      </c>
      <c r="O267">
        <v>0</v>
      </c>
      <c r="P267" s="6">
        <v>15790</v>
      </c>
      <c r="Q267" s="6">
        <v>0</v>
      </c>
      <c r="R267" s="6">
        <v>32041</v>
      </c>
      <c r="S267" s="6">
        <v>35212</v>
      </c>
      <c r="T267" s="6">
        <v>241753</v>
      </c>
      <c r="U267" s="6">
        <v>132628</v>
      </c>
      <c r="V267" s="6">
        <v>109125</v>
      </c>
    </row>
    <row r="268" spans="1:22" x14ac:dyDescent="0.25">
      <c r="A268">
        <v>2026</v>
      </c>
      <c r="B268" s="1" t="s">
        <v>14</v>
      </c>
      <c r="C268" t="s">
        <v>49</v>
      </c>
      <c r="D268" s="1" t="s">
        <v>670</v>
      </c>
      <c r="E268" t="s">
        <v>345</v>
      </c>
      <c r="F268" s="6">
        <v>818166</v>
      </c>
      <c r="G268" s="6">
        <v>628885</v>
      </c>
      <c r="H268" s="6">
        <v>134697</v>
      </c>
      <c r="I268" s="6">
        <v>494188</v>
      </c>
      <c r="J268" s="6">
        <v>189281</v>
      </c>
      <c r="K268" s="6">
        <v>20254</v>
      </c>
      <c r="L268" s="6">
        <v>703723</v>
      </c>
      <c r="M268">
        <v>0</v>
      </c>
      <c r="N268">
        <v>0</v>
      </c>
      <c r="O268">
        <v>0</v>
      </c>
      <c r="P268" s="6">
        <v>88762</v>
      </c>
      <c r="Q268" s="6">
        <v>0</v>
      </c>
      <c r="R268" s="6">
        <v>142115</v>
      </c>
      <c r="S268" s="6">
        <v>159123</v>
      </c>
      <c r="T268" s="6">
        <v>1093723</v>
      </c>
      <c r="U268" s="6">
        <v>582950</v>
      </c>
      <c r="V268" s="6">
        <v>510773</v>
      </c>
    </row>
    <row r="269" spans="1:22" x14ac:dyDescent="0.25">
      <c r="A269">
        <v>2026</v>
      </c>
      <c r="B269" s="1" t="s">
        <v>14</v>
      </c>
      <c r="C269" t="s">
        <v>49</v>
      </c>
      <c r="D269" s="1" t="s">
        <v>671</v>
      </c>
      <c r="E269" t="s">
        <v>346</v>
      </c>
      <c r="F269" s="6">
        <v>457186</v>
      </c>
      <c r="G269" s="6">
        <v>351417</v>
      </c>
      <c r="H269" s="6">
        <v>75268</v>
      </c>
      <c r="I269" s="6">
        <v>276149</v>
      </c>
      <c r="J269" s="6">
        <v>105769</v>
      </c>
      <c r="K269">
        <v>0</v>
      </c>
      <c r="L269" s="6">
        <v>381918</v>
      </c>
      <c r="M269">
        <v>0</v>
      </c>
      <c r="N269">
        <v>0</v>
      </c>
      <c r="O269">
        <v>0</v>
      </c>
      <c r="P269" s="6">
        <v>48384</v>
      </c>
      <c r="Q269" s="6">
        <v>0</v>
      </c>
      <c r="R269" s="6">
        <v>75141</v>
      </c>
      <c r="S269" s="6">
        <v>84134</v>
      </c>
      <c r="T269" s="6">
        <v>589577</v>
      </c>
      <c r="U269" s="6">
        <v>324533</v>
      </c>
      <c r="V269" s="6">
        <v>265044</v>
      </c>
    </row>
    <row r="270" spans="1:22" x14ac:dyDescent="0.25">
      <c r="A270">
        <v>2026</v>
      </c>
      <c r="B270" s="1" t="s">
        <v>17</v>
      </c>
      <c r="C270" t="s">
        <v>52</v>
      </c>
      <c r="D270" s="1" t="s">
        <v>672</v>
      </c>
      <c r="E270" t="s">
        <v>347</v>
      </c>
      <c r="F270" s="6">
        <v>152975</v>
      </c>
      <c r="G270" s="6">
        <v>121269</v>
      </c>
      <c r="H270" s="6">
        <v>25974</v>
      </c>
      <c r="I270" s="6">
        <v>95295</v>
      </c>
      <c r="J270" s="6">
        <v>31706</v>
      </c>
      <c r="K270">
        <v>0</v>
      </c>
      <c r="L270" s="6">
        <v>127001</v>
      </c>
      <c r="M270">
        <v>135</v>
      </c>
      <c r="N270">
        <v>36</v>
      </c>
      <c r="O270">
        <v>171</v>
      </c>
      <c r="P270" s="6">
        <v>14535</v>
      </c>
      <c r="Q270" s="6">
        <v>0</v>
      </c>
      <c r="R270" s="6">
        <v>27032</v>
      </c>
      <c r="S270" s="6">
        <v>29727</v>
      </c>
      <c r="T270" s="6">
        <v>198466</v>
      </c>
      <c r="U270" s="6">
        <v>109965</v>
      </c>
      <c r="V270" s="6">
        <v>88501</v>
      </c>
    </row>
    <row r="271" spans="1:22" x14ac:dyDescent="0.25">
      <c r="A271">
        <v>2026</v>
      </c>
      <c r="B271" s="1" t="s">
        <v>15</v>
      </c>
      <c r="C271" t="s">
        <v>50</v>
      </c>
      <c r="D271" s="1" t="s">
        <v>673</v>
      </c>
      <c r="E271" t="s">
        <v>348</v>
      </c>
      <c r="F271" s="6">
        <v>239797</v>
      </c>
      <c r="G271" s="6">
        <v>187788</v>
      </c>
      <c r="H271" s="6">
        <v>40221</v>
      </c>
      <c r="I271" s="6">
        <v>147567</v>
      </c>
      <c r="J271" s="6">
        <v>52009</v>
      </c>
      <c r="K271">
        <v>0</v>
      </c>
      <c r="L271" s="6">
        <v>199576</v>
      </c>
      <c r="M271">
        <v>229</v>
      </c>
      <c r="N271">
        <v>64</v>
      </c>
      <c r="O271">
        <v>293</v>
      </c>
      <c r="P271" s="6">
        <v>29434</v>
      </c>
      <c r="Q271" s="6">
        <v>0</v>
      </c>
      <c r="R271" s="6">
        <v>39957</v>
      </c>
      <c r="S271" s="6">
        <v>44541</v>
      </c>
      <c r="T271" s="6">
        <v>313801</v>
      </c>
      <c r="U271" s="6">
        <v>177230</v>
      </c>
      <c r="V271" s="6">
        <v>136571</v>
      </c>
    </row>
    <row r="272" spans="1:22" x14ac:dyDescent="0.25">
      <c r="A272">
        <v>2026</v>
      </c>
      <c r="B272" s="1" t="s">
        <v>20</v>
      </c>
      <c r="C272" t="s">
        <v>55</v>
      </c>
      <c r="D272" s="1" t="s">
        <v>674</v>
      </c>
      <c r="E272" t="s">
        <v>349</v>
      </c>
      <c r="F272" s="6">
        <v>78576</v>
      </c>
      <c r="G272" s="6">
        <v>62119</v>
      </c>
      <c r="H272" s="6">
        <v>13305</v>
      </c>
      <c r="I272" s="6">
        <v>48814</v>
      </c>
      <c r="J272" s="6">
        <v>16457</v>
      </c>
      <c r="K272" s="6">
        <v>0</v>
      </c>
      <c r="L272" s="6">
        <v>65271</v>
      </c>
      <c r="M272">
        <v>127</v>
      </c>
      <c r="N272">
        <v>34</v>
      </c>
      <c r="O272">
        <v>161</v>
      </c>
      <c r="P272" s="6">
        <v>8069</v>
      </c>
      <c r="Q272">
        <v>0</v>
      </c>
      <c r="R272" s="6">
        <v>12868</v>
      </c>
      <c r="S272" s="6">
        <v>14228</v>
      </c>
      <c r="T272" s="6">
        <v>100597</v>
      </c>
      <c r="U272" s="6">
        <v>57010</v>
      </c>
      <c r="V272" s="6">
        <v>43587</v>
      </c>
    </row>
    <row r="273" spans="1:22" x14ac:dyDescent="0.25">
      <c r="A273">
        <v>2026</v>
      </c>
      <c r="B273" s="1" t="s">
        <v>13</v>
      </c>
      <c r="C273" t="s">
        <v>48</v>
      </c>
      <c r="D273" s="1" t="s">
        <v>675</v>
      </c>
      <c r="E273" t="s">
        <v>350</v>
      </c>
      <c r="F273" s="6">
        <v>234185</v>
      </c>
      <c r="G273" s="6">
        <v>177901</v>
      </c>
      <c r="H273" s="6">
        <v>38103</v>
      </c>
      <c r="I273" s="6">
        <v>139798</v>
      </c>
      <c r="J273" s="6">
        <v>56284</v>
      </c>
      <c r="K273" s="6">
        <v>7751</v>
      </c>
      <c r="L273" s="6">
        <v>203833</v>
      </c>
      <c r="M273">
        <v>461</v>
      </c>
      <c r="N273">
        <v>146</v>
      </c>
      <c r="O273">
        <v>607</v>
      </c>
      <c r="P273" s="6">
        <v>23978</v>
      </c>
      <c r="Q273" s="6">
        <v>0</v>
      </c>
      <c r="R273" s="6">
        <v>35501</v>
      </c>
      <c r="S273" s="6">
        <v>39543</v>
      </c>
      <c r="T273" s="6">
        <v>303462</v>
      </c>
      <c r="U273" s="6">
        <v>164237</v>
      </c>
      <c r="V273" s="6">
        <v>139225</v>
      </c>
    </row>
    <row r="274" spans="1:22" x14ac:dyDescent="0.25">
      <c r="A274">
        <v>2026</v>
      </c>
      <c r="B274" s="1" t="s">
        <v>14</v>
      </c>
      <c r="C274" t="s">
        <v>49</v>
      </c>
      <c r="D274" s="1" t="s">
        <v>676</v>
      </c>
      <c r="E274" t="s">
        <v>351</v>
      </c>
      <c r="F274" s="6">
        <v>1089490</v>
      </c>
      <c r="G274" s="6">
        <v>837439</v>
      </c>
      <c r="H274" s="6">
        <v>179366</v>
      </c>
      <c r="I274" s="6">
        <v>658073</v>
      </c>
      <c r="J274" s="6">
        <v>252051</v>
      </c>
      <c r="K274">
        <v>0</v>
      </c>
      <c r="L274" s="6">
        <v>910124</v>
      </c>
      <c r="M274">
        <v>0</v>
      </c>
      <c r="N274">
        <v>0</v>
      </c>
      <c r="O274">
        <v>0</v>
      </c>
      <c r="P274" s="6">
        <v>115269</v>
      </c>
      <c r="Q274" s="6">
        <v>0</v>
      </c>
      <c r="R274" s="6">
        <v>186742</v>
      </c>
      <c r="S274" s="6">
        <v>209091</v>
      </c>
      <c r="T274" s="6">
        <v>1421226</v>
      </c>
      <c r="U274" s="6">
        <v>773342</v>
      </c>
      <c r="V274" s="6">
        <v>647884</v>
      </c>
    </row>
    <row r="275" spans="1:22" x14ac:dyDescent="0.25">
      <c r="A275">
        <v>2026</v>
      </c>
      <c r="B275" s="1" t="s">
        <v>14</v>
      </c>
      <c r="C275" t="s">
        <v>49</v>
      </c>
      <c r="D275" s="1" t="s">
        <v>677</v>
      </c>
      <c r="E275" t="s">
        <v>352</v>
      </c>
      <c r="F275" s="6">
        <v>56410</v>
      </c>
      <c r="G275" s="6">
        <v>43360</v>
      </c>
      <c r="H275" s="6">
        <v>9287</v>
      </c>
      <c r="I275" s="6">
        <v>34073</v>
      </c>
      <c r="J275" s="6">
        <v>13050</v>
      </c>
      <c r="K275" s="6">
        <v>7101</v>
      </c>
      <c r="L275" s="6">
        <v>54224</v>
      </c>
      <c r="M275">
        <v>0</v>
      </c>
      <c r="N275">
        <v>0</v>
      </c>
      <c r="O275">
        <v>0</v>
      </c>
      <c r="P275" s="6">
        <v>6381</v>
      </c>
      <c r="Q275">
        <v>0</v>
      </c>
      <c r="R275" s="6">
        <v>9344</v>
      </c>
      <c r="S275" s="6">
        <v>10462</v>
      </c>
      <c r="T275" s="6">
        <v>80411</v>
      </c>
      <c r="U275" s="6">
        <v>40454</v>
      </c>
      <c r="V275" s="6">
        <v>39957</v>
      </c>
    </row>
    <row r="276" spans="1:22" x14ac:dyDescent="0.25">
      <c r="A276">
        <v>2026</v>
      </c>
      <c r="B276" s="1" t="s">
        <v>15</v>
      </c>
      <c r="C276" t="s">
        <v>50</v>
      </c>
      <c r="D276" s="1" t="s">
        <v>678</v>
      </c>
      <c r="E276" t="s">
        <v>353</v>
      </c>
      <c r="F276" s="6">
        <v>314087</v>
      </c>
      <c r="G276" s="6">
        <v>245966</v>
      </c>
      <c r="H276" s="6">
        <v>52682</v>
      </c>
      <c r="I276" s="6">
        <v>193284</v>
      </c>
      <c r="J276" s="6">
        <v>68121</v>
      </c>
      <c r="K276">
        <v>637</v>
      </c>
      <c r="L276" s="6">
        <v>262042</v>
      </c>
      <c r="M276">
        <v>301</v>
      </c>
      <c r="N276">
        <v>83</v>
      </c>
      <c r="O276">
        <v>384</v>
      </c>
      <c r="P276" s="6">
        <v>38758</v>
      </c>
      <c r="Q276" s="6">
        <v>0</v>
      </c>
      <c r="R276" s="6">
        <v>49882</v>
      </c>
      <c r="S276" s="6">
        <v>55604</v>
      </c>
      <c r="T276" s="6">
        <v>406670</v>
      </c>
      <c r="U276" s="6">
        <v>232343</v>
      </c>
      <c r="V276" s="6">
        <v>174327</v>
      </c>
    </row>
    <row r="277" spans="1:22" x14ac:dyDescent="0.25">
      <c r="A277">
        <v>2026</v>
      </c>
      <c r="B277" s="1" t="s">
        <v>17</v>
      </c>
      <c r="C277" t="s">
        <v>52</v>
      </c>
      <c r="D277" s="1" t="s">
        <v>679</v>
      </c>
      <c r="E277" t="s">
        <v>354</v>
      </c>
      <c r="F277" s="6">
        <v>301527</v>
      </c>
      <c r="G277" s="6">
        <v>239033</v>
      </c>
      <c r="H277" s="6">
        <v>51197</v>
      </c>
      <c r="I277" s="6">
        <v>187836</v>
      </c>
      <c r="J277" s="6">
        <v>62494</v>
      </c>
      <c r="K277" s="6">
        <v>18507</v>
      </c>
      <c r="L277" s="6">
        <v>268837</v>
      </c>
      <c r="M277">
        <v>265</v>
      </c>
      <c r="N277">
        <v>69</v>
      </c>
      <c r="O277">
        <v>334</v>
      </c>
      <c r="P277" s="6">
        <v>29814</v>
      </c>
      <c r="Q277" s="6">
        <v>0</v>
      </c>
      <c r="R277" s="6">
        <v>49255</v>
      </c>
      <c r="S277" s="6">
        <v>54167</v>
      </c>
      <c r="T277" s="6">
        <v>402407</v>
      </c>
      <c r="U277" s="6">
        <v>217915</v>
      </c>
      <c r="V277" s="6">
        <v>184492</v>
      </c>
    </row>
    <row r="278" spans="1:22" x14ac:dyDescent="0.25">
      <c r="A278">
        <v>2026</v>
      </c>
      <c r="B278" s="1" t="s">
        <v>20</v>
      </c>
      <c r="C278" t="s">
        <v>55</v>
      </c>
      <c r="D278" s="1" t="s">
        <v>680</v>
      </c>
      <c r="E278" t="s">
        <v>355</v>
      </c>
      <c r="F278" s="6">
        <v>214932</v>
      </c>
      <c r="G278" s="6">
        <v>169917</v>
      </c>
      <c r="H278" s="6">
        <v>36393</v>
      </c>
      <c r="I278" s="6">
        <v>133524</v>
      </c>
      <c r="J278" s="6">
        <v>45015</v>
      </c>
      <c r="K278" s="6">
        <v>0</v>
      </c>
      <c r="L278" s="6">
        <v>178539</v>
      </c>
      <c r="M278">
        <v>348</v>
      </c>
      <c r="N278">
        <v>92</v>
      </c>
      <c r="O278">
        <v>440</v>
      </c>
      <c r="P278" s="6">
        <v>22071</v>
      </c>
      <c r="Q278" s="6">
        <v>0</v>
      </c>
      <c r="R278" s="6">
        <v>40294</v>
      </c>
      <c r="S278" s="6">
        <v>44553</v>
      </c>
      <c r="T278" s="6">
        <v>285897</v>
      </c>
      <c r="U278" s="6">
        <v>155942</v>
      </c>
      <c r="V278" s="6">
        <v>129955</v>
      </c>
    </row>
    <row r="279" spans="1:22" x14ac:dyDescent="0.25">
      <c r="A279">
        <v>2026</v>
      </c>
      <c r="B279" s="1" t="s">
        <v>20</v>
      </c>
      <c r="C279" t="s">
        <v>55</v>
      </c>
      <c r="D279" s="1" t="s">
        <v>681</v>
      </c>
      <c r="E279" t="s">
        <v>356</v>
      </c>
      <c r="F279" s="6">
        <v>257801</v>
      </c>
      <c r="G279" s="6">
        <v>203807</v>
      </c>
      <c r="H279" s="6">
        <v>43653</v>
      </c>
      <c r="I279" s="6">
        <v>160154</v>
      </c>
      <c r="J279" s="6">
        <v>53994</v>
      </c>
      <c r="K279">
        <v>0</v>
      </c>
      <c r="L279" s="6">
        <v>214148</v>
      </c>
      <c r="M279">
        <v>417</v>
      </c>
      <c r="N279">
        <v>110</v>
      </c>
      <c r="O279">
        <v>527</v>
      </c>
      <c r="P279" s="6">
        <v>26473</v>
      </c>
      <c r="Q279" s="6">
        <v>0</v>
      </c>
      <c r="R279" s="6">
        <v>43673</v>
      </c>
      <c r="S279" s="6">
        <v>48290</v>
      </c>
      <c r="T279" s="6">
        <v>333111</v>
      </c>
      <c r="U279" s="6">
        <v>187043</v>
      </c>
      <c r="V279" s="6">
        <v>146068</v>
      </c>
    </row>
    <row r="280" spans="1:22" x14ac:dyDescent="0.25">
      <c r="A280">
        <v>2026</v>
      </c>
      <c r="B280" s="1" t="s">
        <v>21</v>
      </c>
      <c r="C280" t="s">
        <v>56</v>
      </c>
      <c r="D280" s="1" t="s">
        <v>682</v>
      </c>
      <c r="E280" t="s">
        <v>357</v>
      </c>
      <c r="F280" s="6">
        <v>92167</v>
      </c>
      <c r="G280" s="6">
        <v>73419</v>
      </c>
      <c r="H280" s="6">
        <v>15725</v>
      </c>
      <c r="I280" s="6">
        <v>57694</v>
      </c>
      <c r="J280" s="6">
        <v>18748</v>
      </c>
      <c r="K280" s="6">
        <v>6360</v>
      </c>
      <c r="L280" s="6">
        <v>82802</v>
      </c>
      <c r="M280">
        <v>168</v>
      </c>
      <c r="N280">
        <v>43</v>
      </c>
      <c r="O280">
        <v>211</v>
      </c>
      <c r="P280" s="6">
        <v>9882</v>
      </c>
      <c r="Q280" s="6">
        <v>0</v>
      </c>
      <c r="R280" s="6">
        <v>15980</v>
      </c>
      <c r="S280" s="6">
        <v>17572</v>
      </c>
      <c r="T280" s="6">
        <v>126447</v>
      </c>
      <c r="U280" s="6">
        <v>67744</v>
      </c>
      <c r="V280" s="6">
        <v>58703</v>
      </c>
    </row>
    <row r="281" spans="1:22" x14ac:dyDescent="0.25">
      <c r="A281">
        <v>2026</v>
      </c>
      <c r="B281" s="1" t="s">
        <v>15</v>
      </c>
      <c r="C281" t="s">
        <v>50</v>
      </c>
      <c r="D281" s="1" t="s">
        <v>683</v>
      </c>
      <c r="E281" t="s">
        <v>358</v>
      </c>
      <c r="F281" s="6">
        <v>156617</v>
      </c>
      <c r="G281" s="6">
        <v>122649</v>
      </c>
      <c r="H281" s="6">
        <v>26269</v>
      </c>
      <c r="I281" s="6">
        <v>96380</v>
      </c>
      <c r="J281" s="6">
        <v>33968</v>
      </c>
      <c r="K281" s="6">
        <v>0</v>
      </c>
      <c r="L281" s="6">
        <v>130348</v>
      </c>
      <c r="M281">
        <v>149</v>
      </c>
      <c r="N281">
        <v>41</v>
      </c>
      <c r="O281">
        <v>190</v>
      </c>
      <c r="P281" s="6">
        <v>19224</v>
      </c>
      <c r="Q281" s="6">
        <v>0</v>
      </c>
      <c r="R281" s="6">
        <v>25398</v>
      </c>
      <c r="S281" s="6">
        <v>28311</v>
      </c>
      <c r="T281" s="6">
        <v>203471</v>
      </c>
      <c r="U281" s="6">
        <v>115753</v>
      </c>
      <c r="V281" s="6">
        <v>87718</v>
      </c>
    </row>
    <row r="282" spans="1:22" x14ac:dyDescent="0.25">
      <c r="A282">
        <v>2026</v>
      </c>
      <c r="B282" s="1" t="s">
        <v>13</v>
      </c>
      <c r="C282" t="s">
        <v>48</v>
      </c>
      <c r="D282" s="1" t="s">
        <v>684</v>
      </c>
      <c r="E282" t="s">
        <v>359</v>
      </c>
      <c r="F282" s="6">
        <v>144867</v>
      </c>
      <c r="G282" s="6">
        <v>110049</v>
      </c>
      <c r="H282" s="6">
        <v>23570</v>
      </c>
      <c r="I282" s="6">
        <v>86479</v>
      </c>
      <c r="J282" s="6">
        <v>34818</v>
      </c>
      <c r="K282" s="6">
        <v>1887</v>
      </c>
      <c r="L282" s="6">
        <v>123184</v>
      </c>
      <c r="M282">
        <v>284</v>
      </c>
      <c r="N282">
        <v>90</v>
      </c>
      <c r="O282">
        <v>374</v>
      </c>
      <c r="P282" s="6">
        <v>14366</v>
      </c>
      <c r="Q282" s="6">
        <v>0</v>
      </c>
      <c r="R282" s="6">
        <v>26822</v>
      </c>
      <c r="S282" s="6">
        <v>29876</v>
      </c>
      <c r="T282" s="6">
        <v>194622</v>
      </c>
      <c r="U282" s="6">
        <v>101130</v>
      </c>
      <c r="V282" s="6">
        <v>93492</v>
      </c>
    </row>
    <row r="283" spans="1:22" x14ac:dyDescent="0.25">
      <c r="A283">
        <v>2026</v>
      </c>
      <c r="B283" s="1" t="s">
        <v>18</v>
      </c>
      <c r="C283" t="s">
        <v>53</v>
      </c>
      <c r="D283" s="1" t="s">
        <v>685</v>
      </c>
      <c r="E283" t="s">
        <v>360</v>
      </c>
      <c r="F283" s="6">
        <v>117939</v>
      </c>
      <c r="G283" s="6">
        <v>95441</v>
      </c>
      <c r="H283" s="6">
        <v>20442</v>
      </c>
      <c r="I283" s="6">
        <v>74999</v>
      </c>
      <c r="J283" s="6">
        <v>22498</v>
      </c>
      <c r="K283" s="6">
        <v>10295</v>
      </c>
      <c r="L283" s="6">
        <v>107792</v>
      </c>
      <c r="M283">
        <v>0</v>
      </c>
      <c r="N283">
        <v>0</v>
      </c>
      <c r="O283">
        <v>0</v>
      </c>
      <c r="P283" s="6">
        <v>10888</v>
      </c>
      <c r="Q283" s="6">
        <v>0</v>
      </c>
      <c r="R283" s="6">
        <v>19912</v>
      </c>
      <c r="S283" s="6">
        <v>21883</v>
      </c>
      <c r="T283" s="6">
        <v>160475</v>
      </c>
      <c r="U283" s="6">
        <v>85887</v>
      </c>
      <c r="V283" s="6">
        <v>74588</v>
      </c>
    </row>
    <row r="284" spans="1:22" x14ac:dyDescent="0.25">
      <c r="A284">
        <v>2026</v>
      </c>
      <c r="B284" s="1" t="s">
        <v>14</v>
      </c>
      <c r="C284" t="s">
        <v>49</v>
      </c>
      <c r="D284" s="1" t="s">
        <v>686</v>
      </c>
      <c r="E284" t="s">
        <v>361</v>
      </c>
      <c r="F284" s="6">
        <v>67634</v>
      </c>
      <c r="G284" s="6">
        <v>51987</v>
      </c>
      <c r="H284" s="6">
        <v>11135</v>
      </c>
      <c r="I284" s="6">
        <v>40852</v>
      </c>
      <c r="J284" s="6">
        <v>15647</v>
      </c>
      <c r="K284" s="6">
        <v>0</v>
      </c>
      <c r="L284" s="6">
        <v>56499</v>
      </c>
      <c r="M284">
        <v>0</v>
      </c>
      <c r="N284">
        <v>0</v>
      </c>
      <c r="O284">
        <v>0</v>
      </c>
      <c r="P284" s="6">
        <v>7156</v>
      </c>
      <c r="Q284">
        <v>0</v>
      </c>
      <c r="R284" s="6">
        <v>11761</v>
      </c>
      <c r="S284" s="6">
        <v>13169</v>
      </c>
      <c r="T284" s="6">
        <v>88585</v>
      </c>
      <c r="U284" s="6">
        <v>48008</v>
      </c>
      <c r="V284" s="6">
        <v>40577</v>
      </c>
    </row>
    <row r="285" spans="1:22" x14ac:dyDescent="0.25">
      <c r="A285">
        <v>2026</v>
      </c>
      <c r="B285" s="1" t="s">
        <v>20</v>
      </c>
      <c r="C285" t="s">
        <v>55</v>
      </c>
      <c r="D285" s="1" t="s">
        <v>687</v>
      </c>
      <c r="E285" t="s">
        <v>362</v>
      </c>
      <c r="F285" s="6">
        <v>281450</v>
      </c>
      <c r="G285" s="6">
        <v>222503</v>
      </c>
      <c r="H285" s="6">
        <v>47657</v>
      </c>
      <c r="I285" s="6">
        <v>174846</v>
      </c>
      <c r="J285" s="6">
        <v>58947</v>
      </c>
      <c r="K285" s="6">
        <v>0</v>
      </c>
      <c r="L285" s="6">
        <v>233793</v>
      </c>
      <c r="M285">
        <v>455</v>
      </c>
      <c r="N285">
        <v>121</v>
      </c>
      <c r="O285">
        <v>576</v>
      </c>
      <c r="P285" s="6">
        <v>28901</v>
      </c>
      <c r="Q285" s="6">
        <v>0</v>
      </c>
      <c r="R285" s="6">
        <v>49717</v>
      </c>
      <c r="S285" s="6">
        <v>54973</v>
      </c>
      <c r="T285" s="6">
        <v>367960</v>
      </c>
      <c r="U285" s="6">
        <v>204202</v>
      </c>
      <c r="V285" s="6">
        <v>163758</v>
      </c>
    </row>
    <row r="286" spans="1:22" x14ac:dyDescent="0.25">
      <c r="A286">
        <v>2026</v>
      </c>
      <c r="B286" s="1" t="s">
        <v>15</v>
      </c>
      <c r="C286" t="s">
        <v>50</v>
      </c>
      <c r="D286" s="1" t="s">
        <v>688</v>
      </c>
      <c r="E286" t="s">
        <v>363</v>
      </c>
      <c r="F286" s="6">
        <v>373012</v>
      </c>
      <c r="G286" s="6">
        <v>292110</v>
      </c>
      <c r="H286" s="6">
        <v>62565</v>
      </c>
      <c r="I286" s="6">
        <v>229545</v>
      </c>
      <c r="J286" s="6">
        <v>80902</v>
      </c>
      <c r="K286" s="6">
        <v>16858</v>
      </c>
      <c r="L286" s="6">
        <v>327305</v>
      </c>
      <c r="M286">
        <v>356</v>
      </c>
      <c r="N286">
        <v>99</v>
      </c>
      <c r="O286">
        <v>455</v>
      </c>
      <c r="P286" s="6">
        <v>46560</v>
      </c>
      <c r="Q286" s="6">
        <v>0</v>
      </c>
      <c r="R286" s="6">
        <v>61634</v>
      </c>
      <c r="S286" s="6">
        <v>68704</v>
      </c>
      <c r="T286" s="6">
        <v>504658</v>
      </c>
      <c r="U286" s="6">
        <v>276461</v>
      </c>
      <c r="V286" s="6">
        <v>228197</v>
      </c>
    </row>
    <row r="287" spans="1:22" x14ac:dyDescent="0.25">
      <c r="A287">
        <v>2026</v>
      </c>
      <c r="B287" s="1" t="s">
        <v>18</v>
      </c>
      <c r="C287" t="s">
        <v>53</v>
      </c>
      <c r="D287" s="1" t="s">
        <v>689</v>
      </c>
      <c r="E287" t="s">
        <v>364</v>
      </c>
      <c r="F287" s="6">
        <v>137198</v>
      </c>
      <c r="G287" s="6">
        <v>111027</v>
      </c>
      <c r="H287" s="6">
        <v>23780</v>
      </c>
      <c r="I287" s="6">
        <v>87247</v>
      </c>
      <c r="J287" s="6">
        <v>26171</v>
      </c>
      <c r="K287" s="6">
        <v>1050</v>
      </c>
      <c r="L287" s="6">
        <v>114468</v>
      </c>
      <c r="M287">
        <v>0</v>
      </c>
      <c r="N287">
        <v>0</v>
      </c>
      <c r="O287">
        <v>0</v>
      </c>
      <c r="P287" s="6">
        <v>11791</v>
      </c>
      <c r="Q287" s="6">
        <v>0</v>
      </c>
      <c r="R287" s="6">
        <v>24258</v>
      </c>
      <c r="S287" s="6">
        <v>26659</v>
      </c>
      <c r="T287" s="6">
        <v>177176</v>
      </c>
      <c r="U287" s="6">
        <v>99038</v>
      </c>
      <c r="V287" s="6">
        <v>78138</v>
      </c>
    </row>
    <row r="288" spans="1:22" x14ac:dyDescent="0.25">
      <c r="A288">
        <v>2026</v>
      </c>
      <c r="B288" s="1" t="s">
        <v>18</v>
      </c>
      <c r="C288" t="s">
        <v>53</v>
      </c>
      <c r="D288" s="1" t="s">
        <v>690</v>
      </c>
      <c r="E288" t="s">
        <v>365</v>
      </c>
      <c r="F288" s="6">
        <v>1348026</v>
      </c>
      <c r="G288" s="6">
        <v>1090879</v>
      </c>
      <c r="H288" s="6">
        <v>233649</v>
      </c>
      <c r="I288" s="6">
        <v>857230</v>
      </c>
      <c r="J288" s="6">
        <v>257147</v>
      </c>
      <c r="K288">
        <v>0</v>
      </c>
      <c r="L288" s="6">
        <v>1114377</v>
      </c>
      <c r="M288">
        <v>0</v>
      </c>
      <c r="N288">
        <v>0</v>
      </c>
      <c r="O288">
        <v>0</v>
      </c>
      <c r="P288" s="6">
        <v>115847</v>
      </c>
      <c r="Q288" s="6">
        <v>0</v>
      </c>
      <c r="R288" s="6">
        <v>255419</v>
      </c>
      <c r="S288" s="6">
        <v>280701</v>
      </c>
      <c r="T288" s="6">
        <v>1766344</v>
      </c>
      <c r="U288" s="6">
        <v>973077</v>
      </c>
      <c r="V288" s="6">
        <v>793267</v>
      </c>
    </row>
    <row r="289" spans="1:22" x14ac:dyDescent="0.25">
      <c r="A289">
        <v>2026</v>
      </c>
      <c r="B289" s="1" t="s">
        <v>21</v>
      </c>
      <c r="C289" t="s">
        <v>56</v>
      </c>
      <c r="D289" s="1" t="s">
        <v>691</v>
      </c>
      <c r="E289" t="s">
        <v>366</v>
      </c>
      <c r="F289" s="6">
        <v>376697</v>
      </c>
      <c r="G289" s="6">
        <v>300070</v>
      </c>
      <c r="H289" s="6">
        <v>64271</v>
      </c>
      <c r="I289" s="6">
        <v>235799</v>
      </c>
      <c r="J289" s="6">
        <v>76627</v>
      </c>
      <c r="K289">
        <v>0</v>
      </c>
      <c r="L289" s="6">
        <v>312426</v>
      </c>
      <c r="M289">
        <v>684</v>
      </c>
      <c r="N289">
        <v>175</v>
      </c>
      <c r="O289">
        <v>859</v>
      </c>
      <c r="P289" s="6">
        <v>37900</v>
      </c>
      <c r="Q289" s="6">
        <v>0</v>
      </c>
      <c r="R289" s="6">
        <v>62362</v>
      </c>
      <c r="S289" s="6">
        <v>68573</v>
      </c>
      <c r="T289" s="6">
        <v>482120</v>
      </c>
      <c r="U289" s="6">
        <v>274383</v>
      </c>
      <c r="V289" s="6">
        <v>207737</v>
      </c>
    </row>
    <row r="290" spans="1:22" x14ac:dyDescent="0.25">
      <c r="A290">
        <v>2026</v>
      </c>
      <c r="B290" s="1" t="s">
        <v>18</v>
      </c>
      <c r="C290" t="s">
        <v>53</v>
      </c>
      <c r="D290" s="1" t="s">
        <v>692</v>
      </c>
      <c r="E290" t="s">
        <v>367</v>
      </c>
      <c r="F290" s="6">
        <v>348836</v>
      </c>
      <c r="G290" s="6">
        <v>282293</v>
      </c>
      <c r="H290" s="6">
        <v>60463</v>
      </c>
      <c r="I290" s="6">
        <v>221830</v>
      </c>
      <c r="J290" s="6">
        <v>66543</v>
      </c>
      <c r="K290">
        <v>0</v>
      </c>
      <c r="L290" s="6">
        <v>288373</v>
      </c>
      <c r="M290">
        <v>0</v>
      </c>
      <c r="N290">
        <v>0</v>
      </c>
      <c r="O290">
        <v>0</v>
      </c>
      <c r="P290" s="6">
        <v>29978</v>
      </c>
      <c r="Q290" s="6">
        <v>0</v>
      </c>
      <c r="R290" s="6">
        <v>65055</v>
      </c>
      <c r="S290" s="6">
        <v>71494</v>
      </c>
      <c r="T290" s="6">
        <v>454900</v>
      </c>
      <c r="U290" s="6">
        <v>251808</v>
      </c>
      <c r="V290" s="6">
        <v>203092</v>
      </c>
    </row>
    <row r="291" spans="1:22" x14ac:dyDescent="0.25">
      <c r="A291">
        <v>2026</v>
      </c>
      <c r="B291" s="1" t="s">
        <v>20</v>
      </c>
      <c r="C291" t="s">
        <v>55</v>
      </c>
      <c r="D291" s="1" t="s">
        <v>693</v>
      </c>
      <c r="E291" t="s">
        <v>368</v>
      </c>
      <c r="F291" s="6">
        <v>108182</v>
      </c>
      <c r="G291" s="6">
        <v>85524</v>
      </c>
      <c r="H291" s="6">
        <v>18318</v>
      </c>
      <c r="I291" s="6">
        <v>67206</v>
      </c>
      <c r="J291" s="6">
        <v>22658</v>
      </c>
      <c r="K291" s="6">
        <v>8921</v>
      </c>
      <c r="L291" s="6">
        <v>98785</v>
      </c>
      <c r="M291">
        <v>174</v>
      </c>
      <c r="N291">
        <v>46</v>
      </c>
      <c r="O291">
        <v>220</v>
      </c>
      <c r="P291" s="6">
        <v>11391</v>
      </c>
      <c r="Q291" s="6">
        <v>0</v>
      </c>
      <c r="R291" s="6">
        <v>17677</v>
      </c>
      <c r="S291" s="6">
        <v>19546</v>
      </c>
      <c r="T291" s="6">
        <v>147619</v>
      </c>
      <c r="U291" s="6">
        <v>78771</v>
      </c>
      <c r="V291" s="6">
        <v>68848</v>
      </c>
    </row>
    <row r="292" spans="1:22" x14ac:dyDescent="0.25">
      <c r="A292">
        <v>2026</v>
      </c>
      <c r="B292" s="1" t="s">
        <v>17</v>
      </c>
      <c r="C292" t="s">
        <v>52</v>
      </c>
      <c r="D292" s="1" t="s">
        <v>694</v>
      </c>
      <c r="E292" t="s">
        <v>369</v>
      </c>
      <c r="F292" s="6">
        <v>640806</v>
      </c>
      <c r="G292" s="6">
        <v>507992</v>
      </c>
      <c r="H292" s="6">
        <v>108804</v>
      </c>
      <c r="I292" s="6">
        <v>399188</v>
      </c>
      <c r="J292" s="6">
        <v>132814</v>
      </c>
      <c r="K292">
        <v>0</v>
      </c>
      <c r="L292" s="6">
        <v>532002</v>
      </c>
      <c r="M292">
        <v>566</v>
      </c>
      <c r="N292">
        <v>148</v>
      </c>
      <c r="O292">
        <v>714</v>
      </c>
      <c r="P292" s="6">
        <v>60885</v>
      </c>
      <c r="Q292" s="6">
        <v>0</v>
      </c>
      <c r="R292" s="6">
        <v>106372</v>
      </c>
      <c r="S292" s="6">
        <v>116980</v>
      </c>
      <c r="T292" s="6">
        <v>816953</v>
      </c>
      <c r="U292" s="6">
        <v>460639</v>
      </c>
      <c r="V292" s="6">
        <v>356314</v>
      </c>
    </row>
    <row r="293" spans="1:22" x14ac:dyDescent="0.25">
      <c r="A293">
        <v>2026</v>
      </c>
      <c r="B293" s="1" t="s">
        <v>21</v>
      </c>
      <c r="C293" t="s">
        <v>56</v>
      </c>
      <c r="D293" s="1" t="s">
        <v>695</v>
      </c>
      <c r="E293" t="s">
        <v>370</v>
      </c>
      <c r="F293" s="6">
        <v>192830</v>
      </c>
      <c r="G293" s="6">
        <v>153605</v>
      </c>
      <c r="H293" s="6">
        <v>32899</v>
      </c>
      <c r="I293" s="6">
        <v>120706</v>
      </c>
      <c r="J293" s="6">
        <v>39225</v>
      </c>
      <c r="K293" s="6">
        <v>0</v>
      </c>
      <c r="L293" s="6">
        <v>159931</v>
      </c>
      <c r="M293">
        <v>351</v>
      </c>
      <c r="N293">
        <v>89</v>
      </c>
      <c r="O293">
        <v>440</v>
      </c>
      <c r="P293" s="6">
        <v>19401</v>
      </c>
      <c r="Q293" s="6">
        <v>0</v>
      </c>
      <c r="R293" s="6">
        <v>31506</v>
      </c>
      <c r="S293" s="6">
        <v>34644</v>
      </c>
      <c r="T293" s="6">
        <v>245922</v>
      </c>
      <c r="U293" s="6">
        <v>140458</v>
      </c>
      <c r="V293" s="6">
        <v>105464</v>
      </c>
    </row>
    <row r="294" spans="1:22" x14ac:dyDescent="0.25">
      <c r="A294">
        <v>2026</v>
      </c>
      <c r="B294" s="1" t="s">
        <v>21</v>
      </c>
      <c r="C294" t="s">
        <v>56</v>
      </c>
      <c r="D294" s="1" t="s">
        <v>696</v>
      </c>
      <c r="E294" t="s">
        <v>371</v>
      </c>
      <c r="F294" s="6">
        <v>208290</v>
      </c>
      <c r="G294" s="6">
        <v>165920</v>
      </c>
      <c r="H294" s="6">
        <v>35538</v>
      </c>
      <c r="I294" s="6">
        <v>130382</v>
      </c>
      <c r="J294" s="6">
        <v>42370</v>
      </c>
      <c r="K294" s="6">
        <v>20716</v>
      </c>
      <c r="L294" s="6">
        <v>193468</v>
      </c>
      <c r="M294">
        <v>378</v>
      </c>
      <c r="N294">
        <v>97</v>
      </c>
      <c r="O294">
        <v>475</v>
      </c>
      <c r="P294" s="6">
        <v>20956</v>
      </c>
      <c r="Q294" s="6">
        <v>0</v>
      </c>
      <c r="R294" s="6">
        <v>34039</v>
      </c>
      <c r="S294" s="6">
        <v>37429</v>
      </c>
      <c r="T294" s="6">
        <v>286367</v>
      </c>
      <c r="U294" s="6">
        <v>151716</v>
      </c>
      <c r="V294" s="6">
        <v>134651</v>
      </c>
    </row>
    <row r="295" spans="1:22" x14ac:dyDescent="0.25">
      <c r="A295">
        <v>2026</v>
      </c>
      <c r="B295" s="1" t="s">
        <v>15</v>
      </c>
      <c r="C295" t="s">
        <v>50</v>
      </c>
      <c r="D295" s="1" t="s">
        <v>697</v>
      </c>
      <c r="E295" t="s">
        <v>372</v>
      </c>
      <c r="F295" s="6">
        <v>237587</v>
      </c>
      <c r="G295" s="6">
        <v>186057</v>
      </c>
      <c r="H295" s="6">
        <v>39850</v>
      </c>
      <c r="I295" s="6">
        <v>146207</v>
      </c>
      <c r="J295" s="6">
        <v>51530</v>
      </c>
      <c r="K295" s="6">
        <v>12417</v>
      </c>
      <c r="L295" s="6">
        <v>210154</v>
      </c>
      <c r="M295">
        <v>226</v>
      </c>
      <c r="N295">
        <v>63</v>
      </c>
      <c r="O295">
        <v>289</v>
      </c>
      <c r="P295" s="6">
        <v>30680</v>
      </c>
      <c r="Q295" s="6">
        <v>0</v>
      </c>
      <c r="R295" s="6">
        <v>40480</v>
      </c>
      <c r="S295" s="6">
        <v>45124</v>
      </c>
      <c r="T295" s="6">
        <v>326727</v>
      </c>
      <c r="U295" s="6">
        <v>177113</v>
      </c>
      <c r="V295" s="6">
        <v>149614</v>
      </c>
    </row>
    <row r="296" spans="1:22" x14ac:dyDescent="0.25">
      <c r="A296">
        <v>2026</v>
      </c>
      <c r="B296" s="1" t="s">
        <v>17</v>
      </c>
      <c r="C296" t="s">
        <v>52</v>
      </c>
      <c r="D296" s="1" t="s">
        <v>698</v>
      </c>
      <c r="E296" t="s">
        <v>373</v>
      </c>
      <c r="F296" s="6">
        <v>635336</v>
      </c>
      <c r="G296" s="6">
        <v>503656</v>
      </c>
      <c r="H296" s="6">
        <v>107875</v>
      </c>
      <c r="I296" s="6">
        <v>395781</v>
      </c>
      <c r="J296" s="6">
        <v>131680</v>
      </c>
      <c r="K296" s="6">
        <v>5632</v>
      </c>
      <c r="L296" s="6">
        <v>533093</v>
      </c>
      <c r="M296">
        <v>560</v>
      </c>
      <c r="N296">
        <v>147</v>
      </c>
      <c r="O296">
        <v>707</v>
      </c>
      <c r="P296" s="6">
        <v>60807</v>
      </c>
      <c r="Q296" s="6">
        <v>0</v>
      </c>
      <c r="R296" s="6">
        <v>111701</v>
      </c>
      <c r="S296" s="6">
        <v>122840</v>
      </c>
      <c r="T296" s="6">
        <v>829148</v>
      </c>
      <c r="U296" s="6">
        <v>457148</v>
      </c>
      <c r="V296" s="6">
        <v>372000</v>
      </c>
    </row>
    <row r="297" spans="1:22" x14ac:dyDescent="0.25">
      <c r="A297">
        <v>2026</v>
      </c>
      <c r="B297" s="1" t="s">
        <v>15</v>
      </c>
      <c r="C297" t="s">
        <v>50</v>
      </c>
      <c r="D297" s="1" t="s">
        <v>699</v>
      </c>
      <c r="E297" t="s">
        <v>374</v>
      </c>
      <c r="F297" s="6">
        <v>4652046</v>
      </c>
      <c r="G297" s="6">
        <v>3643073</v>
      </c>
      <c r="H297" s="6">
        <v>780288</v>
      </c>
      <c r="I297" s="6">
        <v>2862785</v>
      </c>
      <c r="J297" s="6">
        <v>1008973</v>
      </c>
      <c r="K297">
        <v>0</v>
      </c>
      <c r="L297" s="6">
        <v>3871758</v>
      </c>
      <c r="M297" s="6">
        <v>4449</v>
      </c>
      <c r="N297" s="6">
        <v>1232</v>
      </c>
      <c r="O297" s="6">
        <v>5681</v>
      </c>
      <c r="P297" s="6">
        <v>571012</v>
      </c>
      <c r="Q297" s="6">
        <v>0</v>
      </c>
      <c r="R297" s="6">
        <v>787985</v>
      </c>
      <c r="S297" s="6">
        <v>878382</v>
      </c>
      <c r="T297" s="6">
        <v>6114818</v>
      </c>
      <c r="U297" s="6">
        <v>3438246</v>
      </c>
      <c r="V297" s="6">
        <v>2676572</v>
      </c>
    </row>
    <row r="298" spans="1:22" x14ac:dyDescent="0.25">
      <c r="A298">
        <v>2026</v>
      </c>
      <c r="B298" s="1" t="s">
        <v>18</v>
      </c>
      <c r="C298" t="s">
        <v>53</v>
      </c>
      <c r="D298" s="1" t="s">
        <v>700</v>
      </c>
      <c r="E298" t="s">
        <v>375</v>
      </c>
      <c r="F298" s="6">
        <v>5342545</v>
      </c>
      <c r="G298" s="6">
        <v>4323410</v>
      </c>
      <c r="H298" s="6">
        <v>926006</v>
      </c>
      <c r="I298" s="6">
        <v>3397404</v>
      </c>
      <c r="J298" s="6">
        <v>1019135</v>
      </c>
      <c r="K298">
        <v>0</v>
      </c>
      <c r="L298" s="6">
        <v>4416539</v>
      </c>
      <c r="M298">
        <v>0</v>
      </c>
      <c r="N298">
        <v>0</v>
      </c>
      <c r="O298">
        <v>0</v>
      </c>
      <c r="P298" s="6">
        <v>459127</v>
      </c>
      <c r="Q298" s="6">
        <v>0</v>
      </c>
      <c r="R298" s="6">
        <v>999882</v>
      </c>
      <c r="S298" s="6">
        <v>1098852</v>
      </c>
      <c r="T298" s="6">
        <v>6974400</v>
      </c>
      <c r="U298" s="6">
        <v>3856531</v>
      </c>
      <c r="V298" s="6">
        <v>3117869</v>
      </c>
    </row>
    <row r="299" spans="1:22" x14ac:dyDescent="0.25">
      <c r="A299">
        <v>2026</v>
      </c>
      <c r="B299" s="1" t="s">
        <v>15</v>
      </c>
      <c r="C299" t="s">
        <v>50</v>
      </c>
      <c r="D299" s="1" t="s">
        <v>701</v>
      </c>
      <c r="E299" t="s">
        <v>376</v>
      </c>
      <c r="F299" s="6">
        <v>858491</v>
      </c>
      <c r="G299" s="6">
        <v>672295</v>
      </c>
      <c r="H299" s="6">
        <v>143995</v>
      </c>
      <c r="I299" s="6">
        <v>528300</v>
      </c>
      <c r="J299" s="6">
        <v>186196</v>
      </c>
      <c r="K299">
        <v>0</v>
      </c>
      <c r="L299" s="6">
        <v>714496</v>
      </c>
      <c r="M299">
        <v>822</v>
      </c>
      <c r="N299">
        <v>228</v>
      </c>
      <c r="O299" s="6">
        <v>1050</v>
      </c>
      <c r="P299" s="6">
        <v>105375</v>
      </c>
      <c r="Q299" s="6">
        <v>0</v>
      </c>
      <c r="R299" s="6">
        <v>152191</v>
      </c>
      <c r="S299" s="6">
        <v>169650</v>
      </c>
      <c r="T299" s="6">
        <v>1142762</v>
      </c>
      <c r="U299" s="6">
        <v>634497</v>
      </c>
      <c r="V299" s="6">
        <v>508265</v>
      </c>
    </row>
    <row r="300" spans="1:22" x14ac:dyDescent="0.25">
      <c r="A300">
        <v>2026</v>
      </c>
      <c r="B300" s="1" t="s">
        <v>21</v>
      </c>
      <c r="C300" t="s">
        <v>56</v>
      </c>
      <c r="D300" s="1" t="s">
        <v>702</v>
      </c>
      <c r="E300" t="s">
        <v>377</v>
      </c>
      <c r="F300" s="6">
        <v>219000</v>
      </c>
      <c r="G300" s="6">
        <v>174451</v>
      </c>
      <c r="H300" s="6">
        <v>37365</v>
      </c>
      <c r="I300" s="6">
        <v>137086</v>
      </c>
      <c r="J300" s="6">
        <v>44549</v>
      </c>
      <c r="K300" s="6">
        <v>6776</v>
      </c>
      <c r="L300" s="6">
        <v>188411</v>
      </c>
      <c r="M300">
        <v>397</v>
      </c>
      <c r="N300">
        <v>102</v>
      </c>
      <c r="O300">
        <v>499</v>
      </c>
      <c r="P300" s="6">
        <v>22708</v>
      </c>
      <c r="Q300" s="6">
        <v>0</v>
      </c>
      <c r="R300" s="6">
        <v>35598</v>
      </c>
      <c r="S300" s="6">
        <v>39144</v>
      </c>
      <c r="T300" s="6">
        <v>286360</v>
      </c>
      <c r="U300" s="6">
        <v>160192</v>
      </c>
      <c r="V300" s="6">
        <v>126168</v>
      </c>
    </row>
    <row r="301" spans="1:22" x14ac:dyDescent="0.25">
      <c r="A301">
        <v>2026</v>
      </c>
      <c r="B301" s="1" t="s">
        <v>14</v>
      </c>
      <c r="C301" t="s">
        <v>49</v>
      </c>
      <c r="D301" s="1" t="s">
        <v>703</v>
      </c>
      <c r="E301" t="s">
        <v>378</v>
      </c>
      <c r="F301" s="6">
        <v>692786</v>
      </c>
      <c r="G301" s="6">
        <v>532512</v>
      </c>
      <c r="H301" s="6">
        <v>114055</v>
      </c>
      <c r="I301" s="6">
        <v>418457</v>
      </c>
      <c r="J301" s="6">
        <v>160274</v>
      </c>
      <c r="K301">
        <v>0</v>
      </c>
      <c r="L301" s="6">
        <v>578731</v>
      </c>
      <c r="M301">
        <v>0</v>
      </c>
      <c r="N301">
        <v>0</v>
      </c>
      <c r="O301">
        <v>0</v>
      </c>
      <c r="P301" s="6">
        <v>73298</v>
      </c>
      <c r="Q301" s="6">
        <v>0</v>
      </c>
      <c r="R301" s="6">
        <v>119768</v>
      </c>
      <c r="S301" s="6">
        <v>134102</v>
      </c>
      <c r="T301" s="6">
        <v>905899</v>
      </c>
      <c r="U301" s="6">
        <v>491755</v>
      </c>
      <c r="V301" s="6">
        <v>414144</v>
      </c>
    </row>
    <row r="302" spans="1:22" x14ac:dyDescent="0.25">
      <c r="A302">
        <v>2026</v>
      </c>
      <c r="B302" s="1" t="s">
        <v>14</v>
      </c>
      <c r="C302" t="s">
        <v>49</v>
      </c>
      <c r="D302" s="1" t="s">
        <v>704</v>
      </c>
      <c r="E302" t="s">
        <v>379</v>
      </c>
      <c r="F302" s="6">
        <v>125402</v>
      </c>
      <c r="G302" s="6">
        <v>96390</v>
      </c>
      <c r="H302" s="6">
        <v>20645</v>
      </c>
      <c r="I302" s="6">
        <v>75745</v>
      </c>
      <c r="J302" s="6">
        <v>29012</v>
      </c>
      <c r="K302" s="6">
        <v>3986</v>
      </c>
      <c r="L302" s="6">
        <v>108743</v>
      </c>
      <c r="M302">
        <v>0</v>
      </c>
      <c r="N302">
        <v>0</v>
      </c>
      <c r="O302">
        <v>0</v>
      </c>
      <c r="P302" s="6">
        <v>13698</v>
      </c>
      <c r="Q302" s="6">
        <v>0</v>
      </c>
      <c r="R302" s="6">
        <v>24110</v>
      </c>
      <c r="S302" s="6">
        <v>26996</v>
      </c>
      <c r="T302" s="6">
        <v>173547</v>
      </c>
      <c r="U302" s="6">
        <v>89443</v>
      </c>
      <c r="V302" s="6">
        <v>84104</v>
      </c>
    </row>
    <row r="303" spans="1:22" x14ac:dyDescent="0.25">
      <c r="A303">
        <v>2026</v>
      </c>
      <c r="B303" s="1" t="s">
        <v>17</v>
      </c>
      <c r="C303" t="s">
        <v>52</v>
      </c>
      <c r="D303" s="1" t="s">
        <v>705</v>
      </c>
      <c r="E303" t="s">
        <v>380</v>
      </c>
      <c r="F303" s="6">
        <v>313306</v>
      </c>
      <c r="G303" s="6">
        <v>248370</v>
      </c>
      <c r="H303" s="6">
        <v>53197</v>
      </c>
      <c r="I303" s="6">
        <v>195173</v>
      </c>
      <c r="J303" s="6">
        <v>64936</v>
      </c>
      <c r="K303">
        <v>0</v>
      </c>
      <c r="L303" s="6">
        <v>260109</v>
      </c>
      <c r="M303">
        <v>276</v>
      </c>
      <c r="N303">
        <v>72</v>
      </c>
      <c r="O303">
        <v>348</v>
      </c>
      <c r="P303" s="6">
        <v>29768</v>
      </c>
      <c r="Q303" s="6">
        <v>0</v>
      </c>
      <c r="R303" s="6">
        <v>52699</v>
      </c>
      <c r="S303" s="6">
        <v>57954</v>
      </c>
      <c r="T303" s="6">
        <v>400878</v>
      </c>
      <c r="U303" s="6">
        <v>225217</v>
      </c>
      <c r="V303" s="6">
        <v>175661</v>
      </c>
    </row>
    <row r="304" spans="1:22" x14ac:dyDescent="0.25">
      <c r="A304">
        <v>2026</v>
      </c>
      <c r="B304" s="1" t="s">
        <v>21</v>
      </c>
      <c r="C304" t="s">
        <v>56</v>
      </c>
      <c r="D304" s="1" t="s">
        <v>706</v>
      </c>
      <c r="E304" t="s">
        <v>381</v>
      </c>
      <c r="F304" s="6">
        <v>153193</v>
      </c>
      <c r="G304" s="6">
        <v>122031</v>
      </c>
      <c r="H304" s="6">
        <v>26137</v>
      </c>
      <c r="I304" s="6">
        <v>95894</v>
      </c>
      <c r="J304" s="6">
        <v>31162</v>
      </c>
      <c r="K304" s="6">
        <v>5683</v>
      </c>
      <c r="L304" s="6">
        <v>132739</v>
      </c>
      <c r="M304">
        <v>279</v>
      </c>
      <c r="N304">
        <v>71</v>
      </c>
      <c r="O304">
        <v>350</v>
      </c>
      <c r="P304" s="6">
        <v>15413</v>
      </c>
      <c r="Q304" s="6">
        <v>0</v>
      </c>
      <c r="R304" s="6">
        <v>27153</v>
      </c>
      <c r="S304" s="6">
        <v>29858</v>
      </c>
      <c r="T304" s="6">
        <v>205513</v>
      </c>
      <c r="U304" s="6">
        <v>111585</v>
      </c>
      <c r="V304" s="6">
        <v>93928</v>
      </c>
    </row>
    <row r="305" spans="1:22" x14ac:dyDescent="0.25">
      <c r="A305">
        <v>2026</v>
      </c>
      <c r="B305" s="1" t="s">
        <v>13</v>
      </c>
      <c r="C305" t="s">
        <v>48</v>
      </c>
      <c r="D305" s="1" t="s">
        <v>707</v>
      </c>
      <c r="E305" t="s">
        <v>382</v>
      </c>
      <c r="F305" s="6">
        <v>113447</v>
      </c>
      <c r="G305" s="6">
        <v>86181</v>
      </c>
      <c r="H305" s="6">
        <v>18459</v>
      </c>
      <c r="I305" s="6">
        <v>67722</v>
      </c>
      <c r="J305" s="6">
        <v>27266</v>
      </c>
      <c r="K305">
        <v>0</v>
      </c>
      <c r="L305" s="6">
        <v>94988</v>
      </c>
      <c r="M305">
        <v>224</v>
      </c>
      <c r="N305">
        <v>70</v>
      </c>
      <c r="O305">
        <v>294</v>
      </c>
      <c r="P305" s="6">
        <v>11250</v>
      </c>
      <c r="Q305" s="6">
        <v>0</v>
      </c>
      <c r="R305" s="6">
        <v>17359</v>
      </c>
      <c r="S305" s="6">
        <v>19336</v>
      </c>
      <c r="T305" s="6">
        <v>143227</v>
      </c>
      <c r="U305" s="6">
        <v>79196</v>
      </c>
      <c r="V305" s="6">
        <v>64031</v>
      </c>
    </row>
    <row r="306" spans="1:22" x14ac:dyDescent="0.25">
      <c r="A306">
        <v>2026</v>
      </c>
      <c r="B306" s="1" t="s">
        <v>18</v>
      </c>
      <c r="C306" t="s">
        <v>53</v>
      </c>
      <c r="D306" s="1" t="s">
        <v>708</v>
      </c>
      <c r="E306" t="s">
        <v>383</v>
      </c>
      <c r="F306" s="6">
        <v>374671</v>
      </c>
      <c r="G306" s="6">
        <v>303200</v>
      </c>
      <c r="H306" s="6">
        <v>64940</v>
      </c>
      <c r="I306" s="6">
        <v>238260</v>
      </c>
      <c r="J306" s="6">
        <v>71471</v>
      </c>
      <c r="K306">
        <v>0</v>
      </c>
      <c r="L306" s="6">
        <v>309731</v>
      </c>
      <c r="M306">
        <v>0</v>
      </c>
      <c r="N306">
        <v>0</v>
      </c>
      <c r="O306">
        <v>0</v>
      </c>
      <c r="P306" s="6">
        <v>32199</v>
      </c>
      <c r="Q306" s="6">
        <v>0</v>
      </c>
      <c r="R306" s="6">
        <v>62201</v>
      </c>
      <c r="S306" s="6">
        <v>68358</v>
      </c>
      <c r="T306" s="6">
        <v>472489</v>
      </c>
      <c r="U306" s="6">
        <v>270459</v>
      </c>
      <c r="V306" s="6">
        <v>202030</v>
      </c>
    </row>
    <row r="307" spans="1:22" x14ac:dyDescent="0.25">
      <c r="A307">
        <v>2026</v>
      </c>
      <c r="B307" s="1" t="s">
        <v>13</v>
      </c>
      <c r="C307" t="s">
        <v>48</v>
      </c>
      <c r="D307" s="1" t="s">
        <v>709</v>
      </c>
      <c r="E307" t="s">
        <v>384</v>
      </c>
      <c r="F307" s="6">
        <v>543142</v>
      </c>
      <c r="G307" s="6">
        <v>412603</v>
      </c>
      <c r="H307" s="6">
        <v>88373</v>
      </c>
      <c r="I307" s="6">
        <v>324230</v>
      </c>
      <c r="J307" s="6">
        <v>130539</v>
      </c>
      <c r="K307">
        <v>0</v>
      </c>
      <c r="L307" s="6">
        <v>454769</v>
      </c>
      <c r="M307" s="6">
        <v>1071</v>
      </c>
      <c r="N307">
        <v>339</v>
      </c>
      <c r="O307" s="6">
        <v>1410</v>
      </c>
      <c r="P307" s="6">
        <v>53863</v>
      </c>
      <c r="Q307" s="6">
        <v>0</v>
      </c>
      <c r="R307" s="6">
        <v>100305</v>
      </c>
      <c r="S307" s="6">
        <v>111725</v>
      </c>
      <c r="T307" s="6">
        <v>722072</v>
      </c>
      <c r="U307" s="6">
        <v>379164</v>
      </c>
      <c r="V307" s="6">
        <v>342908</v>
      </c>
    </row>
    <row r="308" spans="1:22" x14ac:dyDescent="0.25">
      <c r="A308">
        <v>2026</v>
      </c>
      <c r="B308" s="1" t="s">
        <v>18</v>
      </c>
      <c r="C308" t="s">
        <v>53</v>
      </c>
      <c r="D308" s="1" t="s">
        <v>710</v>
      </c>
      <c r="E308" t="s">
        <v>385</v>
      </c>
      <c r="F308" s="6">
        <v>3301955</v>
      </c>
      <c r="G308" s="6">
        <v>2672080</v>
      </c>
      <c r="H308" s="6">
        <v>572317</v>
      </c>
      <c r="I308" s="6">
        <v>2099763</v>
      </c>
      <c r="J308" s="6">
        <v>629875</v>
      </c>
      <c r="K308">
        <v>0</v>
      </c>
      <c r="L308" s="6">
        <v>2729638</v>
      </c>
      <c r="M308">
        <v>0</v>
      </c>
      <c r="N308">
        <v>0</v>
      </c>
      <c r="O308">
        <v>0</v>
      </c>
      <c r="P308" s="6">
        <v>283763</v>
      </c>
      <c r="Q308" s="6">
        <v>0</v>
      </c>
      <c r="R308" s="6">
        <v>637444</v>
      </c>
      <c r="S308" s="6">
        <v>700540</v>
      </c>
      <c r="T308" s="6">
        <v>4351385</v>
      </c>
      <c r="U308" s="6">
        <v>2383526</v>
      </c>
      <c r="V308" s="6">
        <v>1967859</v>
      </c>
    </row>
    <row r="309" spans="1:22" x14ac:dyDescent="0.25">
      <c r="A309">
        <v>2026</v>
      </c>
      <c r="B309" s="1" t="s">
        <v>15</v>
      </c>
      <c r="C309" t="s">
        <v>50</v>
      </c>
      <c r="D309" s="1" t="s">
        <v>711</v>
      </c>
      <c r="E309" t="s">
        <v>386</v>
      </c>
      <c r="F309" s="6">
        <v>298002</v>
      </c>
      <c r="G309" s="6">
        <v>233369</v>
      </c>
      <c r="H309" s="6">
        <v>49984</v>
      </c>
      <c r="I309" s="6">
        <v>183385</v>
      </c>
      <c r="J309" s="6">
        <v>64633</v>
      </c>
      <c r="K309">
        <v>0</v>
      </c>
      <c r="L309" s="6">
        <v>248018</v>
      </c>
      <c r="M309">
        <v>284</v>
      </c>
      <c r="N309">
        <v>79</v>
      </c>
      <c r="O309">
        <v>363</v>
      </c>
      <c r="P309" s="6">
        <v>36578</v>
      </c>
      <c r="Q309" s="6">
        <v>0</v>
      </c>
      <c r="R309" s="6">
        <v>52820</v>
      </c>
      <c r="S309" s="6">
        <v>58879</v>
      </c>
      <c r="T309" s="6">
        <v>396658</v>
      </c>
      <c r="U309" s="6">
        <v>220247</v>
      </c>
      <c r="V309" s="6">
        <v>176411</v>
      </c>
    </row>
    <row r="310" spans="1:22" x14ac:dyDescent="0.25">
      <c r="A310">
        <v>2026</v>
      </c>
      <c r="B310" s="1" t="s">
        <v>15</v>
      </c>
      <c r="C310" t="s">
        <v>50</v>
      </c>
      <c r="D310" s="1" t="s">
        <v>712</v>
      </c>
      <c r="E310" t="s">
        <v>387</v>
      </c>
      <c r="F310" s="6">
        <v>225188</v>
      </c>
      <c r="G310" s="6">
        <v>176347</v>
      </c>
      <c r="H310" s="6">
        <v>37770</v>
      </c>
      <c r="I310" s="6">
        <v>138577</v>
      </c>
      <c r="J310" s="6">
        <v>48841</v>
      </c>
      <c r="K310">
        <v>0</v>
      </c>
      <c r="L310" s="6">
        <v>187418</v>
      </c>
      <c r="M310">
        <v>215</v>
      </c>
      <c r="N310">
        <v>60</v>
      </c>
      <c r="O310">
        <v>275</v>
      </c>
      <c r="P310" s="6">
        <v>27641</v>
      </c>
      <c r="Q310" s="6">
        <v>0</v>
      </c>
      <c r="R310" s="6">
        <v>38978</v>
      </c>
      <c r="S310" s="6">
        <v>43450</v>
      </c>
      <c r="T310" s="6">
        <v>297762</v>
      </c>
      <c r="U310" s="6">
        <v>166434</v>
      </c>
      <c r="V310" s="6">
        <v>131328</v>
      </c>
    </row>
    <row r="311" spans="1:22" x14ac:dyDescent="0.25">
      <c r="A311">
        <v>2026</v>
      </c>
      <c r="B311" s="1" t="s">
        <v>20</v>
      </c>
      <c r="C311" t="s">
        <v>55</v>
      </c>
      <c r="D311" s="1" t="s">
        <v>713</v>
      </c>
      <c r="E311" t="s">
        <v>388</v>
      </c>
      <c r="F311" s="6">
        <v>134292</v>
      </c>
      <c r="G311" s="6">
        <v>106166</v>
      </c>
      <c r="H311" s="6">
        <v>22739</v>
      </c>
      <c r="I311" s="6">
        <v>83427</v>
      </c>
      <c r="J311" s="6">
        <v>28126</v>
      </c>
      <c r="K311" s="6">
        <v>13668</v>
      </c>
      <c r="L311" s="6">
        <v>125221</v>
      </c>
      <c r="M311">
        <v>215</v>
      </c>
      <c r="N311">
        <v>57</v>
      </c>
      <c r="O311">
        <v>272</v>
      </c>
      <c r="P311" s="6">
        <v>14005</v>
      </c>
      <c r="Q311" s="6">
        <v>0</v>
      </c>
      <c r="R311" s="6">
        <v>21772</v>
      </c>
      <c r="S311" s="6">
        <v>24073</v>
      </c>
      <c r="T311" s="6">
        <v>185343</v>
      </c>
      <c r="U311" s="6">
        <v>97647</v>
      </c>
      <c r="V311" s="6">
        <v>87696</v>
      </c>
    </row>
    <row r="312" spans="1:22" x14ac:dyDescent="0.25">
      <c r="A312">
        <v>2026</v>
      </c>
      <c r="B312" s="1" t="s">
        <v>16</v>
      </c>
      <c r="C312" t="s">
        <v>51</v>
      </c>
      <c r="D312" s="1" t="s">
        <v>714</v>
      </c>
      <c r="E312" t="s">
        <v>389</v>
      </c>
      <c r="F312" s="6">
        <v>485022</v>
      </c>
      <c r="G312" s="6">
        <v>382387</v>
      </c>
      <c r="H312" s="6">
        <v>81901</v>
      </c>
      <c r="I312" s="6">
        <v>300486</v>
      </c>
      <c r="J312" s="6">
        <v>102635</v>
      </c>
      <c r="K312">
        <v>0</v>
      </c>
      <c r="L312" s="6">
        <v>403121</v>
      </c>
      <c r="M312">
        <v>649</v>
      </c>
      <c r="N312">
        <v>174</v>
      </c>
      <c r="O312">
        <v>823</v>
      </c>
      <c r="P312" s="6">
        <v>44792</v>
      </c>
      <c r="Q312" s="6">
        <v>0</v>
      </c>
      <c r="R312" s="6">
        <v>80611</v>
      </c>
      <c r="S312" s="6">
        <v>88150</v>
      </c>
      <c r="T312" s="6">
        <v>617497</v>
      </c>
      <c r="U312" s="6">
        <v>345927</v>
      </c>
      <c r="V312" s="6">
        <v>271570</v>
      </c>
    </row>
    <row r="313" spans="1:22" x14ac:dyDescent="0.25">
      <c r="A313">
        <v>2026</v>
      </c>
      <c r="B313" s="1" t="s">
        <v>19</v>
      </c>
      <c r="C313" t="s">
        <v>54</v>
      </c>
      <c r="D313" s="1" t="s">
        <v>715</v>
      </c>
      <c r="E313" t="s">
        <v>390</v>
      </c>
      <c r="F313" s="6">
        <v>367733</v>
      </c>
      <c r="G313" s="6">
        <v>285337</v>
      </c>
      <c r="H313" s="6">
        <v>61114</v>
      </c>
      <c r="I313" s="6">
        <v>224223</v>
      </c>
      <c r="J313" s="6">
        <v>82396</v>
      </c>
      <c r="K313">
        <v>0</v>
      </c>
      <c r="L313" s="6">
        <v>306619</v>
      </c>
      <c r="M313">
        <v>535</v>
      </c>
      <c r="N313">
        <v>155</v>
      </c>
      <c r="O313">
        <v>690</v>
      </c>
      <c r="P313" s="6">
        <v>37083</v>
      </c>
      <c r="Q313" s="6">
        <v>0</v>
      </c>
      <c r="R313" s="6">
        <v>72580</v>
      </c>
      <c r="S313" s="6">
        <v>81243</v>
      </c>
      <c r="T313" s="6">
        <v>498215</v>
      </c>
      <c r="U313" s="6">
        <v>261842</v>
      </c>
      <c r="V313" s="6">
        <v>236373</v>
      </c>
    </row>
    <row r="314" spans="1:22" x14ac:dyDescent="0.25">
      <c r="A314">
        <v>2026</v>
      </c>
      <c r="B314" s="1" t="s">
        <v>15</v>
      </c>
      <c r="C314" t="s">
        <v>50</v>
      </c>
      <c r="D314" s="1" t="s">
        <v>716</v>
      </c>
      <c r="E314" t="s">
        <v>391</v>
      </c>
      <c r="F314" s="6">
        <v>280021</v>
      </c>
      <c r="G314" s="6">
        <v>219288</v>
      </c>
      <c r="H314" s="6">
        <v>46968</v>
      </c>
      <c r="I314" s="6">
        <v>172320</v>
      </c>
      <c r="J314" s="6">
        <v>60733</v>
      </c>
      <c r="K314" s="6">
        <v>14742</v>
      </c>
      <c r="L314" s="6">
        <v>247795</v>
      </c>
      <c r="M314">
        <v>268</v>
      </c>
      <c r="N314">
        <v>74</v>
      </c>
      <c r="O314">
        <v>342</v>
      </c>
      <c r="P314" s="6">
        <v>35076</v>
      </c>
      <c r="Q314" s="6">
        <v>0</v>
      </c>
      <c r="R314" s="6">
        <v>48184</v>
      </c>
      <c r="S314" s="6">
        <v>53712</v>
      </c>
      <c r="T314" s="6">
        <v>385109</v>
      </c>
      <c r="U314" s="6">
        <v>207663</v>
      </c>
      <c r="V314" s="6">
        <v>177446</v>
      </c>
    </row>
    <row r="315" spans="1:22" x14ac:dyDescent="0.25">
      <c r="A315">
        <v>2026</v>
      </c>
      <c r="B315" s="1" t="s">
        <v>19</v>
      </c>
      <c r="C315" t="s">
        <v>54</v>
      </c>
      <c r="D315" s="1" t="s">
        <v>717</v>
      </c>
      <c r="E315" t="s">
        <v>392</v>
      </c>
      <c r="F315" s="6">
        <v>234314</v>
      </c>
      <c r="G315" s="6">
        <v>181812</v>
      </c>
      <c r="H315" s="6">
        <v>38941</v>
      </c>
      <c r="I315" s="6">
        <v>142871</v>
      </c>
      <c r="J315" s="6">
        <v>52502</v>
      </c>
      <c r="K315" s="6">
        <v>7908</v>
      </c>
      <c r="L315" s="6">
        <v>203281</v>
      </c>
      <c r="M315">
        <v>339</v>
      </c>
      <c r="N315">
        <v>99</v>
      </c>
      <c r="O315">
        <v>438</v>
      </c>
      <c r="P315" s="6">
        <v>23841</v>
      </c>
      <c r="Q315" s="6">
        <v>0</v>
      </c>
      <c r="R315" s="6">
        <v>37465</v>
      </c>
      <c r="S315" s="6">
        <v>41936</v>
      </c>
      <c r="T315" s="6">
        <v>306961</v>
      </c>
      <c r="U315" s="6">
        <v>167052</v>
      </c>
      <c r="V315" s="6">
        <v>139909</v>
      </c>
    </row>
    <row r="316" spans="1:22" x14ac:dyDescent="0.25">
      <c r="A316">
        <v>2026</v>
      </c>
      <c r="B316" s="1" t="s">
        <v>19</v>
      </c>
      <c r="C316" t="s">
        <v>54</v>
      </c>
      <c r="D316" s="1" t="s">
        <v>718</v>
      </c>
      <c r="E316" t="s">
        <v>393</v>
      </c>
      <c r="F316" s="6">
        <v>299350</v>
      </c>
      <c r="G316" s="6">
        <v>232276</v>
      </c>
      <c r="H316" s="6">
        <v>49750</v>
      </c>
      <c r="I316" s="6">
        <v>182526</v>
      </c>
      <c r="J316" s="6">
        <v>67074</v>
      </c>
      <c r="K316" s="6">
        <v>16083</v>
      </c>
      <c r="L316" s="6">
        <v>265683</v>
      </c>
      <c r="M316">
        <v>436</v>
      </c>
      <c r="N316">
        <v>126</v>
      </c>
      <c r="O316">
        <v>562</v>
      </c>
      <c r="P316" s="6">
        <v>30187</v>
      </c>
      <c r="Q316" s="6">
        <v>0</v>
      </c>
      <c r="R316" s="6">
        <v>54044</v>
      </c>
      <c r="S316" s="6">
        <v>60494</v>
      </c>
      <c r="T316" s="6">
        <v>410970</v>
      </c>
      <c r="U316" s="6">
        <v>213149</v>
      </c>
      <c r="V316" s="6">
        <v>197821</v>
      </c>
    </row>
    <row r="317" spans="1:22" x14ac:dyDescent="0.25">
      <c r="A317">
        <v>2026</v>
      </c>
      <c r="B317" s="1" t="s">
        <v>13</v>
      </c>
      <c r="C317" t="s">
        <v>48</v>
      </c>
      <c r="D317" s="1" t="s">
        <v>719</v>
      </c>
      <c r="E317" t="s">
        <v>394</v>
      </c>
      <c r="F317" s="6">
        <v>1304450</v>
      </c>
      <c r="G317" s="6">
        <v>990939</v>
      </c>
      <c r="H317" s="6">
        <v>212243</v>
      </c>
      <c r="I317" s="6">
        <v>778696</v>
      </c>
      <c r="J317" s="6">
        <v>313511</v>
      </c>
      <c r="K317">
        <v>0</v>
      </c>
      <c r="L317" s="6">
        <v>1092207</v>
      </c>
      <c r="M317" s="6">
        <v>2570</v>
      </c>
      <c r="N317">
        <v>813</v>
      </c>
      <c r="O317" s="6">
        <v>3383</v>
      </c>
      <c r="P317" s="6">
        <v>129361</v>
      </c>
      <c r="Q317" s="6">
        <v>0</v>
      </c>
      <c r="R317" s="6">
        <v>275006</v>
      </c>
      <c r="S317" s="6">
        <v>306316</v>
      </c>
      <c r="T317" s="6">
        <v>1806273</v>
      </c>
      <c r="U317" s="6">
        <v>910627</v>
      </c>
      <c r="V317" s="6">
        <v>895646</v>
      </c>
    </row>
    <row r="318" spans="1:22" x14ac:dyDescent="0.25">
      <c r="A318">
        <v>2026</v>
      </c>
      <c r="B318" s="1" t="s">
        <v>19</v>
      </c>
      <c r="C318" t="s">
        <v>54</v>
      </c>
      <c r="D318" s="1" t="s">
        <v>720</v>
      </c>
      <c r="E318" t="s">
        <v>395</v>
      </c>
      <c r="F318" s="6">
        <v>206246</v>
      </c>
      <c r="G318" s="6">
        <v>160033</v>
      </c>
      <c r="H318" s="6">
        <v>34277</v>
      </c>
      <c r="I318" s="6">
        <v>125756</v>
      </c>
      <c r="J318" s="6">
        <v>46213</v>
      </c>
      <c r="K318" s="6">
        <v>10047</v>
      </c>
      <c r="L318" s="6">
        <v>182016</v>
      </c>
      <c r="M318">
        <v>301</v>
      </c>
      <c r="N318">
        <v>87</v>
      </c>
      <c r="O318">
        <v>388</v>
      </c>
      <c r="P318" s="6">
        <v>21805</v>
      </c>
      <c r="Q318" s="6">
        <v>0</v>
      </c>
      <c r="R318" s="6">
        <v>33288</v>
      </c>
      <c r="S318" s="6">
        <v>37261</v>
      </c>
      <c r="T318" s="6">
        <v>274758</v>
      </c>
      <c r="U318" s="6">
        <v>147862</v>
      </c>
      <c r="V318" s="6">
        <v>126896</v>
      </c>
    </row>
    <row r="319" spans="1:22" x14ac:dyDescent="0.25">
      <c r="A319">
        <v>2026</v>
      </c>
      <c r="B319" s="1" t="s">
        <v>19</v>
      </c>
      <c r="C319" t="s">
        <v>54</v>
      </c>
      <c r="D319" s="1" t="s">
        <v>721</v>
      </c>
      <c r="E319" t="s">
        <v>396</v>
      </c>
      <c r="F319" s="6">
        <v>68508</v>
      </c>
      <c r="G319" s="6">
        <v>53158</v>
      </c>
      <c r="H319" s="6">
        <v>11385</v>
      </c>
      <c r="I319" s="6">
        <v>41773</v>
      </c>
      <c r="J319" s="6">
        <v>15350</v>
      </c>
      <c r="K319" s="6">
        <v>6877</v>
      </c>
      <c r="L319" s="6">
        <v>64000</v>
      </c>
      <c r="M319">
        <v>99</v>
      </c>
      <c r="N319">
        <v>29</v>
      </c>
      <c r="O319">
        <v>128</v>
      </c>
      <c r="P319" s="6">
        <v>7600</v>
      </c>
      <c r="Q319">
        <v>0</v>
      </c>
      <c r="R319" s="6">
        <v>11226</v>
      </c>
      <c r="S319" s="6">
        <v>12566</v>
      </c>
      <c r="T319" s="6">
        <v>95520</v>
      </c>
      <c r="U319" s="6">
        <v>49472</v>
      </c>
      <c r="V319" s="6">
        <v>46048</v>
      </c>
    </row>
    <row r="320" spans="1:22" x14ac:dyDescent="0.25">
      <c r="A320">
        <v>2026</v>
      </c>
      <c r="B320" s="1" t="s">
        <v>17</v>
      </c>
      <c r="C320" t="s">
        <v>52</v>
      </c>
      <c r="D320" s="1" t="s">
        <v>722</v>
      </c>
      <c r="E320" t="s">
        <v>397</v>
      </c>
      <c r="F320" s="6">
        <v>422499</v>
      </c>
      <c r="G320" s="6">
        <v>334932</v>
      </c>
      <c r="H320" s="6">
        <v>71737</v>
      </c>
      <c r="I320" s="6">
        <v>263195</v>
      </c>
      <c r="J320" s="6">
        <v>87567</v>
      </c>
      <c r="K320" s="6">
        <v>6851</v>
      </c>
      <c r="L320" s="6">
        <v>357613</v>
      </c>
      <c r="M320">
        <v>373</v>
      </c>
      <c r="N320">
        <v>97</v>
      </c>
      <c r="O320">
        <v>470</v>
      </c>
      <c r="P320" s="6">
        <v>40731</v>
      </c>
      <c r="Q320" s="6">
        <v>0</v>
      </c>
      <c r="R320" s="6">
        <v>77131</v>
      </c>
      <c r="S320" s="6">
        <v>84823</v>
      </c>
      <c r="T320" s="6">
        <v>560768</v>
      </c>
      <c r="U320" s="6">
        <v>304298</v>
      </c>
      <c r="V320" s="6">
        <v>256470</v>
      </c>
    </row>
    <row r="321" spans="1:22" x14ac:dyDescent="0.25">
      <c r="A321">
        <v>2026</v>
      </c>
      <c r="B321" s="1" t="s">
        <v>16</v>
      </c>
      <c r="C321" t="s">
        <v>51</v>
      </c>
      <c r="D321" s="1" t="s">
        <v>723</v>
      </c>
      <c r="E321" t="s">
        <v>398</v>
      </c>
      <c r="F321" s="6">
        <v>314015</v>
      </c>
      <c r="G321" s="6">
        <v>247566</v>
      </c>
      <c r="H321" s="6">
        <v>53024</v>
      </c>
      <c r="I321" s="6">
        <v>194542</v>
      </c>
      <c r="J321" s="6">
        <v>66449</v>
      </c>
      <c r="K321" s="6">
        <v>8267</v>
      </c>
      <c r="L321" s="6">
        <v>269258</v>
      </c>
      <c r="M321">
        <v>420</v>
      </c>
      <c r="N321">
        <v>112</v>
      </c>
      <c r="O321">
        <v>532</v>
      </c>
      <c r="P321" s="6">
        <v>29699</v>
      </c>
      <c r="Q321" s="6">
        <v>0</v>
      </c>
      <c r="R321" s="6">
        <v>52812</v>
      </c>
      <c r="S321" s="6">
        <v>57751</v>
      </c>
      <c r="T321" s="6">
        <v>410052</v>
      </c>
      <c r="U321" s="6">
        <v>224661</v>
      </c>
      <c r="V321" s="6">
        <v>185391</v>
      </c>
    </row>
    <row r="322" spans="1:22" x14ac:dyDescent="0.25">
      <c r="A322">
        <v>2026</v>
      </c>
      <c r="B322" s="1" t="s">
        <v>21</v>
      </c>
      <c r="C322" t="s">
        <v>56</v>
      </c>
      <c r="D322" s="1" t="s">
        <v>724</v>
      </c>
      <c r="E322" t="s">
        <v>399</v>
      </c>
      <c r="F322" s="6">
        <v>118829</v>
      </c>
      <c r="G322" s="6">
        <v>94657</v>
      </c>
      <c r="H322" s="6">
        <v>20274</v>
      </c>
      <c r="I322" s="6">
        <v>74383</v>
      </c>
      <c r="J322" s="6">
        <v>24172</v>
      </c>
      <c r="K322" s="6">
        <v>2392</v>
      </c>
      <c r="L322" s="6">
        <v>100947</v>
      </c>
      <c r="M322">
        <v>215</v>
      </c>
      <c r="N322">
        <v>55</v>
      </c>
      <c r="O322">
        <v>270</v>
      </c>
      <c r="P322" s="6">
        <v>12192</v>
      </c>
      <c r="Q322" s="6">
        <v>0</v>
      </c>
      <c r="R322" s="6">
        <v>19683</v>
      </c>
      <c r="S322" s="6">
        <v>21643</v>
      </c>
      <c r="T322" s="6">
        <v>154735</v>
      </c>
      <c r="U322" s="6">
        <v>86790</v>
      </c>
      <c r="V322" s="6">
        <v>67945</v>
      </c>
    </row>
    <row r="323" spans="1:22" x14ac:dyDescent="0.25">
      <c r="A323">
        <v>2026</v>
      </c>
      <c r="B323" s="1" t="s">
        <v>18</v>
      </c>
      <c r="C323" t="s">
        <v>53</v>
      </c>
      <c r="D323" s="1" t="s">
        <v>725</v>
      </c>
      <c r="E323" t="s">
        <v>400</v>
      </c>
      <c r="F323" s="6">
        <v>640743</v>
      </c>
      <c r="G323" s="6">
        <v>518516</v>
      </c>
      <c r="H323" s="6">
        <v>111058</v>
      </c>
      <c r="I323" s="6">
        <v>407458</v>
      </c>
      <c r="J323" s="6">
        <v>122227</v>
      </c>
      <c r="K323">
        <v>0</v>
      </c>
      <c r="L323" s="6">
        <v>529685</v>
      </c>
      <c r="M323">
        <v>0</v>
      </c>
      <c r="N323">
        <v>0</v>
      </c>
      <c r="O323">
        <v>0</v>
      </c>
      <c r="P323" s="6">
        <v>55064</v>
      </c>
      <c r="Q323" s="6">
        <v>0</v>
      </c>
      <c r="R323" s="6">
        <v>107862</v>
      </c>
      <c r="S323" s="6">
        <v>118539</v>
      </c>
      <c r="T323" s="6">
        <v>811150</v>
      </c>
      <c r="U323" s="6">
        <v>462522</v>
      </c>
      <c r="V323" s="6">
        <v>348628</v>
      </c>
    </row>
    <row r="324" spans="1:22" x14ac:dyDescent="0.25">
      <c r="A324">
        <v>2026</v>
      </c>
      <c r="B324" s="1" t="s">
        <v>20</v>
      </c>
      <c r="C324" t="s">
        <v>55</v>
      </c>
      <c r="D324" s="1" t="s">
        <v>726</v>
      </c>
      <c r="E324" t="s">
        <v>401</v>
      </c>
      <c r="F324" s="6">
        <v>199878</v>
      </c>
      <c r="G324" s="6">
        <v>158016</v>
      </c>
      <c r="H324" s="6">
        <v>33844</v>
      </c>
      <c r="I324" s="6">
        <v>124172</v>
      </c>
      <c r="J324" s="6">
        <v>41862</v>
      </c>
      <c r="K324">
        <v>0</v>
      </c>
      <c r="L324" s="6">
        <v>166034</v>
      </c>
      <c r="M324">
        <v>323</v>
      </c>
      <c r="N324">
        <v>85</v>
      </c>
      <c r="O324">
        <v>408</v>
      </c>
      <c r="P324" s="6">
        <v>20525</v>
      </c>
      <c r="Q324" s="6">
        <v>0</v>
      </c>
      <c r="R324" s="6">
        <v>33600</v>
      </c>
      <c r="S324" s="6">
        <v>37152</v>
      </c>
      <c r="T324" s="6">
        <v>257719</v>
      </c>
      <c r="U324" s="6">
        <v>145019</v>
      </c>
      <c r="V324" s="6">
        <v>112700</v>
      </c>
    </row>
    <row r="325" spans="1:22" x14ac:dyDescent="0.25">
      <c r="A325">
        <v>2026</v>
      </c>
      <c r="B325" s="1" t="s">
        <v>19</v>
      </c>
      <c r="C325" t="s">
        <v>54</v>
      </c>
      <c r="D325" s="1" t="s">
        <v>727</v>
      </c>
      <c r="E325" t="s">
        <v>402</v>
      </c>
      <c r="F325" s="6">
        <v>215085</v>
      </c>
      <c r="G325" s="6">
        <v>166892</v>
      </c>
      <c r="H325" s="6">
        <v>35746</v>
      </c>
      <c r="I325" s="6">
        <v>131146</v>
      </c>
      <c r="J325" s="6">
        <v>48193</v>
      </c>
      <c r="K325" s="6">
        <v>0</v>
      </c>
      <c r="L325" s="6">
        <v>179339</v>
      </c>
      <c r="M325">
        <v>312</v>
      </c>
      <c r="N325">
        <v>90</v>
      </c>
      <c r="O325">
        <v>402</v>
      </c>
      <c r="P325" s="6">
        <v>21690</v>
      </c>
      <c r="Q325" s="6">
        <v>0</v>
      </c>
      <c r="R325" s="6">
        <v>34006</v>
      </c>
      <c r="S325" s="6">
        <v>38064</v>
      </c>
      <c r="T325" s="6">
        <v>273501</v>
      </c>
      <c r="U325" s="6">
        <v>153148</v>
      </c>
      <c r="V325" s="6">
        <v>120353</v>
      </c>
    </row>
    <row r="326" spans="1:22" x14ac:dyDescent="0.25">
      <c r="A326">
        <v>2026</v>
      </c>
      <c r="B326" s="1" t="s">
        <v>18</v>
      </c>
      <c r="C326" t="s">
        <v>53</v>
      </c>
      <c r="D326" s="1" t="s">
        <v>728</v>
      </c>
      <c r="E326" t="s">
        <v>403</v>
      </c>
      <c r="F326" s="6">
        <v>416632</v>
      </c>
      <c r="G326" s="6">
        <v>337156</v>
      </c>
      <c r="H326" s="6">
        <v>72214</v>
      </c>
      <c r="I326" s="6">
        <v>264942</v>
      </c>
      <c r="J326" s="6">
        <v>79476</v>
      </c>
      <c r="K326">
        <v>0</v>
      </c>
      <c r="L326" s="6">
        <v>344418</v>
      </c>
      <c r="M326">
        <v>0</v>
      </c>
      <c r="N326">
        <v>0</v>
      </c>
      <c r="O326">
        <v>0</v>
      </c>
      <c r="P326" s="6">
        <v>35805</v>
      </c>
      <c r="Q326" s="6">
        <v>0</v>
      </c>
      <c r="R326" s="6">
        <v>73551</v>
      </c>
      <c r="S326" s="6">
        <v>80832</v>
      </c>
      <c r="T326" s="6">
        <v>534606</v>
      </c>
      <c r="U326" s="6">
        <v>300747</v>
      </c>
      <c r="V326" s="6">
        <v>233859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K25"/>
  <sheetViews>
    <sheetView workbookViewId="0">
      <selection activeCell="A26" sqref="A26:XFD27"/>
    </sheetView>
  </sheetViews>
  <sheetFormatPr defaultRowHeight="15" x14ac:dyDescent="0.25"/>
  <cols>
    <col min="1" max="1" width="54.42578125" customWidth="1"/>
    <col min="2" max="2" width="32.140625" bestFit="1" customWidth="1"/>
    <col min="3" max="3" width="11.140625" bestFit="1" customWidth="1"/>
    <col min="9" max="9" width="23.140625" bestFit="1" customWidth="1"/>
    <col min="10" max="10" width="5.140625" bestFit="1" customWidth="1"/>
  </cols>
  <sheetData>
    <row r="1" spans="1:11" x14ac:dyDescent="0.25">
      <c r="A1" s="3" t="s">
        <v>22</v>
      </c>
      <c r="B1" s="4">
        <v>2026</v>
      </c>
      <c r="C1" s="2"/>
      <c r="D1" s="2"/>
      <c r="E1" s="2"/>
      <c r="F1" s="2"/>
      <c r="G1" s="5"/>
      <c r="H1" s="5"/>
      <c r="I1" s="3" t="s">
        <v>23</v>
      </c>
      <c r="J1" s="2"/>
      <c r="K1" t="s">
        <v>45</v>
      </c>
    </row>
    <row r="2" spans="1:11" x14ac:dyDescent="0.25">
      <c r="A2" s="3"/>
      <c r="C2" s="2"/>
      <c r="D2" s="2"/>
      <c r="E2" s="2"/>
      <c r="F2" s="2"/>
      <c r="G2" s="2"/>
      <c r="H2" s="2"/>
      <c r="I2" s="3" t="s">
        <v>24</v>
      </c>
      <c r="J2" s="3" t="s">
        <v>25</v>
      </c>
      <c r="K2">
        <v>1</v>
      </c>
    </row>
    <row r="3" spans="1:11" x14ac:dyDescent="0.25">
      <c r="A3" s="3"/>
      <c r="B3" s="3"/>
      <c r="C3" s="2"/>
      <c r="D3" s="2"/>
      <c r="E3" s="2"/>
      <c r="F3" s="2"/>
      <c r="G3" s="2"/>
      <c r="H3" s="2"/>
      <c r="I3" s="3" t="s">
        <v>26</v>
      </c>
      <c r="J3" s="3" t="s">
        <v>25</v>
      </c>
      <c r="K3">
        <v>2</v>
      </c>
    </row>
    <row r="4" spans="1:11" x14ac:dyDescent="0.25">
      <c r="A4" s="3"/>
      <c r="B4" s="3"/>
      <c r="C4" s="2"/>
      <c r="D4" s="2"/>
      <c r="E4" s="2"/>
      <c r="F4" s="2"/>
      <c r="G4" s="2"/>
      <c r="H4" s="2"/>
      <c r="I4" s="3" t="s">
        <v>27</v>
      </c>
      <c r="J4" s="3" t="s">
        <v>25</v>
      </c>
      <c r="K4">
        <v>3</v>
      </c>
    </row>
    <row r="5" spans="1:11" x14ac:dyDescent="0.25">
      <c r="A5" s="2"/>
      <c r="B5" s="2"/>
      <c r="C5" s="2"/>
      <c r="D5" s="2"/>
      <c r="E5" s="2"/>
      <c r="F5" s="2"/>
      <c r="G5" s="2"/>
      <c r="H5" s="2"/>
      <c r="I5" s="3" t="s">
        <v>28</v>
      </c>
      <c r="J5" s="3" t="s">
        <v>25</v>
      </c>
      <c r="K5">
        <v>4</v>
      </c>
    </row>
    <row r="6" spans="1:11" x14ac:dyDescent="0.25">
      <c r="A6" s="2"/>
      <c r="B6" s="2"/>
      <c r="C6" s="2"/>
      <c r="D6" s="2"/>
      <c r="E6" s="2"/>
      <c r="F6" s="2"/>
      <c r="G6" s="2"/>
      <c r="H6" s="2"/>
      <c r="I6" s="3" t="s">
        <v>29</v>
      </c>
      <c r="J6" s="3" t="s">
        <v>25</v>
      </c>
      <c r="K6">
        <v>5</v>
      </c>
    </row>
    <row r="7" spans="1:11" x14ac:dyDescent="0.25">
      <c r="A7" s="2"/>
      <c r="B7" s="2"/>
      <c r="C7" s="2"/>
      <c r="D7" s="2"/>
      <c r="E7" s="2"/>
      <c r="F7" s="2"/>
      <c r="G7" s="2"/>
      <c r="H7" s="2"/>
      <c r="I7" s="3" t="s">
        <v>31</v>
      </c>
      <c r="J7" s="3" t="s">
        <v>25</v>
      </c>
      <c r="K7">
        <v>6</v>
      </c>
    </row>
    <row r="8" spans="1:11" x14ac:dyDescent="0.25">
      <c r="A8" s="2"/>
      <c r="B8" s="2"/>
      <c r="C8" s="2"/>
      <c r="D8" s="2"/>
      <c r="E8" s="2"/>
      <c r="F8" s="2"/>
      <c r="G8" s="2"/>
      <c r="H8" s="2"/>
      <c r="I8" s="3" t="s">
        <v>32</v>
      </c>
      <c r="J8" s="3" t="s">
        <v>25</v>
      </c>
      <c r="K8">
        <v>7</v>
      </c>
    </row>
    <row r="9" spans="1:11" x14ac:dyDescent="0.25">
      <c r="A9" s="2"/>
      <c r="B9" s="2"/>
      <c r="C9" s="2"/>
      <c r="D9" s="2"/>
      <c r="E9" s="2"/>
      <c r="F9" s="2"/>
      <c r="G9" s="2"/>
      <c r="H9" s="2"/>
      <c r="I9" s="3" t="s">
        <v>33</v>
      </c>
      <c r="J9" s="3" t="s">
        <v>25</v>
      </c>
      <c r="K9">
        <v>8</v>
      </c>
    </row>
    <row r="10" spans="1:11" x14ac:dyDescent="0.25">
      <c r="A10" s="2"/>
      <c r="B10" s="2"/>
      <c r="C10" s="2"/>
      <c r="D10" s="2"/>
      <c r="E10" s="2"/>
      <c r="F10" s="2"/>
      <c r="G10" s="2"/>
      <c r="H10" s="2"/>
      <c r="I10" s="3" t="s">
        <v>34</v>
      </c>
      <c r="J10" s="3" t="s">
        <v>25</v>
      </c>
      <c r="K10">
        <v>9</v>
      </c>
    </row>
    <row r="11" spans="1:11" x14ac:dyDescent="0.25">
      <c r="A11" s="2"/>
      <c r="B11" s="2"/>
      <c r="C11" s="2"/>
      <c r="D11" s="2"/>
      <c r="E11" s="2"/>
      <c r="F11" s="2"/>
      <c r="G11" s="2"/>
      <c r="H11" s="2"/>
      <c r="I11" s="3" t="s">
        <v>35</v>
      </c>
      <c r="J11" s="3" t="s">
        <v>30</v>
      </c>
      <c r="K11">
        <v>10</v>
      </c>
    </row>
    <row r="14" spans="1:11" x14ac:dyDescent="0.25">
      <c r="A14" t="s">
        <v>38</v>
      </c>
      <c r="B14" t="s">
        <v>39</v>
      </c>
      <c r="C14" t="s">
        <v>57</v>
      </c>
    </row>
    <row r="15" spans="1:11" x14ac:dyDescent="0.25">
      <c r="A15" t="s">
        <v>40</v>
      </c>
      <c r="B15" s="6">
        <f>Payment!F13+Payment!E13-Payment!C13</f>
        <v>0</v>
      </c>
    </row>
    <row r="16" spans="1:11" x14ac:dyDescent="0.25">
      <c r="A16" t="s">
        <v>44</v>
      </c>
      <c r="B16" s="6">
        <f>SUM(Payment!L4:$L$12)</f>
        <v>0</v>
      </c>
    </row>
    <row r="17" spans="1:3" x14ac:dyDescent="0.25">
      <c r="A17" t="s">
        <v>43</v>
      </c>
      <c r="B17">
        <f>Payment!D13*INDEX($I$2:$K$11,MATCH(Payment!$B$2,$I$2:$I$11,0),3)-Payment!E13</f>
        <v>0</v>
      </c>
      <c r="C17" t="s">
        <v>58</v>
      </c>
    </row>
    <row r="18" spans="1:3" x14ac:dyDescent="0.25">
      <c r="A18" t="s">
        <v>761</v>
      </c>
      <c r="B18" s="6">
        <f>C18-Payment!C13</f>
        <v>0</v>
      </c>
      <c r="C18" s="6">
        <v>24486316</v>
      </c>
    </row>
    <row r="19" spans="1:3" x14ac:dyDescent="0.25">
      <c r="A19" t="s">
        <v>732</v>
      </c>
      <c r="B19" s="6">
        <f>SUM(PaymentCodingTotal!C3:D11,PaymentCodingTotal!F3:H11)-SUM(PaymentCodingTotal!I3:I11)</f>
        <v>0</v>
      </c>
      <c r="C19" s="6"/>
    </row>
    <row r="20" spans="1:3" x14ac:dyDescent="0.25">
      <c r="A20" t="s">
        <v>755</v>
      </c>
      <c r="B20" s="6">
        <f>SUM(PaymentCodingTotal!K3:M12)</f>
        <v>0</v>
      </c>
    </row>
    <row r="21" spans="1:3" x14ac:dyDescent="0.25">
      <c r="A21" t="s">
        <v>757</v>
      </c>
      <c r="B21" s="6">
        <f>SUM(PaymentCodingTotal!K27:L35)</f>
        <v>0</v>
      </c>
    </row>
    <row r="22" spans="1:3" x14ac:dyDescent="0.25">
      <c r="A22" t="s">
        <v>758</v>
      </c>
      <c r="B22" s="6">
        <f>SUM('PaymentCodingDetai_Sept-May'!K27:M35)</f>
        <v>0</v>
      </c>
    </row>
    <row r="23" spans="1:3" x14ac:dyDescent="0.25">
      <c r="A23" t="s">
        <v>759</v>
      </c>
      <c r="B23" s="6">
        <f>SUM(PaymentCodingDetail_June!K27:M35)</f>
        <v>0</v>
      </c>
    </row>
    <row r="24" spans="1:3" x14ac:dyDescent="0.25">
      <c r="A24" t="s">
        <v>778</v>
      </c>
      <c r="B24" s="6">
        <f>Payment!J13-'PaymentCodingDetai_Sept-May'!I12</f>
        <v>0</v>
      </c>
    </row>
    <row r="25" spans="1:3" x14ac:dyDescent="0.25">
      <c r="A25" t="s">
        <v>777</v>
      </c>
      <c r="B25" s="6">
        <f>Payment!J27-PaymentCodingDetail_June!I12</f>
        <v>0</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L27"/>
  <sheetViews>
    <sheetView tabSelected="1" workbookViewId="0">
      <selection activeCell="B2" sqref="B2"/>
    </sheetView>
  </sheetViews>
  <sheetFormatPr defaultRowHeight="15" x14ac:dyDescent="0.25"/>
  <cols>
    <col min="1" max="1" width="4.42578125" customWidth="1"/>
    <col min="2" max="2" width="26.7109375" bestFit="1" customWidth="1"/>
    <col min="3" max="3" width="13.7109375" bestFit="1" customWidth="1"/>
    <col min="4" max="4" width="12.42578125" bestFit="1" customWidth="1"/>
    <col min="5" max="5" width="14.85546875" bestFit="1" customWidth="1"/>
    <col min="6" max="6" width="13.7109375" bestFit="1" customWidth="1"/>
    <col min="7" max="8" width="13.5703125" customWidth="1"/>
    <col min="9" max="9" width="13.5703125" hidden="1" customWidth="1"/>
    <col min="10" max="10" width="13.5703125" style="6" hidden="1" customWidth="1"/>
    <col min="11" max="12" width="13.5703125" hidden="1" customWidth="1"/>
    <col min="13" max="14" width="13.5703125" customWidth="1"/>
  </cols>
  <sheetData>
    <row r="1" spans="1:12" x14ac:dyDescent="0.25">
      <c r="A1" s="64" t="str">
        <f>CONCATENATE("FY ",Notes!$B$1," AEA State Aid Payments")</f>
        <v>FY 2026 AEA State Aid Payments</v>
      </c>
      <c r="B1" s="65"/>
      <c r="C1" s="65"/>
      <c r="D1" s="65"/>
      <c r="E1" s="65"/>
      <c r="F1" s="65"/>
    </row>
    <row r="2" spans="1:12" ht="30" x14ac:dyDescent="0.25">
      <c r="A2" s="38"/>
      <c r="B2" s="58" t="s">
        <v>24</v>
      </c>
      <c r="C2" s="40" t="s">
        <v>36</v>
      </c>
      <c r="D2" s="40" t="str">
        <f>CONCATENATE(Payment!$B$2," 
Payment")</f>
        <v>September 
Payment</v>
      </c>
      <c r="E2" s="40" t="str">
        <f>CONCATENATE("Paid Through 
",Payment!$B$2)</f>
        <v>Paid Through 
September</v>
      </c>
      <c r="F2" s="40" t="s">
        <v>37</v>
      </c>
      <c r="I2" t="s">
        <v>42</v>
      </c>
      <c r="J2" s="62" t="s">
        <v>763</v>
      </c>
      <c r="L2" s="25" t="s">
        <v>765</v>
      </c>
    </row>
    <row r="3" spans="1:12" ht="27.75" hidden="1" customHeight="1" x14ac:dyDescent="0.25">
      <c r="A3" s="41"/>
      <c r="B3" s="42" t="str">
        <f>Data[[#Headers],[AEA Name]]</f>
        <v>AEA Name</v>
      </c>
      <c r="C3" s="42" t="str">
        <f>Data[[#Headers],[Original Budget]]</f>
        <v>Original Budget</v>
      </c>
      <c r="D3" s="3" t="str">
        <f>IF(Payment!$B$2="June","Pay 2 Final","Pay1 - Sept - May")</f>
        <v>Pay1 - Sept - May</v>
      </c>
      <c r="E3" s="43" t="str">
        <f>CONCATENATE("Paid Thru ",Payment!$B$2)</f>
        <v>Paid Thru September</v>
      </c>
      <c r="F3" s="43"/>
      <c r="K3" t="s">
        <v>41</v>
      </c>
    </row>
    <row r="4" spans="1:12" x14ac:dyDescent="0.25">
      <c r="A4" s="44" t="str">
        <f>Data!A2</f>
        <v>01</v>
      </c>
      <c r="B4" s="45" t="str">
        <f>INDEX(Data[],MATCH($A4,Data[AEA],0),MATCH(B$3,Data[#Headers],0))</f>
        <v>Keystone AEA 1</v>
      </c>
      <c r="C4" s="24">
        <f>INDEX(Data[],MATCH($A4,Data[AEA],0),MATCH(C$3,Data[#Headers],0))</f>
        <v>1735867</v>
      </c>
      <c r="D4" s="24">
        <f>INDEX(Data[],MATCH($A4,Data[AEA],0),MATCH(D$3,Data[#Headers],0))</f>
        <v>173587</v>
      </c>
      <c r="E4" s="24">
        <f>INDEX(Data[],MATCH($A4,Data[AEA],0),MATCH(E$3,Data[#Headers],0))</f>
        <v>173587</v>
      </c>
      <c r="F4" s="24">
        <f>C4-E4</f>
        <v>1562280</v>
      </c>
      <c r="I4">
        <v>92010000</v>
      </c>
      <c r="J4" s="6">
        <v>173587</v>
      </c>
      <c r="K4" t="str">
        <f>MID(I4,3,2)</f>
        <v>01</v>
      </c>
      <c r="L4" s="6">
        <f>INDEX($A$4:$F$12,MATCH(K4,$A$4:$A$12,0),4)-J4</f>
        <v>0</v>
      </c>
    </row>
    <row r="5" spans="1:12" x14ac:dyDescent="0.25">
      <c r="A5" s="44" t="str">
        <f>Data!A3</f>
        <v>05</v>
      </c>
      <c r="B5" s="45" t="str">
        <f>INDEX(Data[],MATCH($A5,Data[AEA],0),MATCH(B$3,Data[#Headers],0))</f>
        <v>Prairie Lakes AEA 8</v>
      </c>
      <c r="C5" s="24">
        <f>INDEX(Data[],MATCH($A5,Data[AEA],0),MATCH(C$3,Data[#Headers],0))</f>
        <v>1595089</v>
      </c>
      <c r="D5" s="24">
        <f>INDEX(Data[],MATCH($A5,Data[AEA],0),MATCH(D$3,Data[#Headers],0))</f>
        <v>159509</v>
      </c>
      <c r="E5" s="24">
        <f>INDEX(Data[],MATCH($A5,Data[AEA],0),MATCH(E$3,Data[#Headers],0))</f>
        <v>159509</v>
      </c>
      <c r="F5" s="24">
        <f t="shared" ref="F5:F12" si="0">C5-E5</f>
        <v>1435580</v>
      </c>
      <c r="I5">
        <v>92050000</v>
      </c>
      <c r="J5" s="6">
        <v>159509</v>
      </c>
      <c r="K5" t="str">
        <f t="shared" ref="K5:K12" si="1">MID(I5,3,2)</f>
        <v>05</v>
      </c>
      <c r="L5" s="6">
        <f t="shared" ref="L5:L12" si="2">INDEX($A$4:$F$12,MATCH(K5,$A$4:$A$12,0),4)-J5</f>
        <v>0</v>
      </c>
    </row>
    <row r="6" spans="1:12" x14ac:dyDescent="0.25">
      <c r="A6" s="44" t="str">
        <f>Data!A4</f>
        <v>07</v>
      </c>
      <c r="B6" s="45" t="str">
        <f>INDEX(Data[],MATCH($A6,Data[AEA],0),MATCH(B$3,Data[#Headers],0))</f>
        <v>Central Rivers</v>
      </c>
      <c r="C6" s="24">
        <f>INDEX(Data[],MATCH($A6,Data[AEA],0),MATCH(C$3,Data[#Headers],0))</f>
        <v>3597573</v>
      </c>
      <c r="D6" s="24">
        <f>INDEX(Data[],MATCH($A6,Data[AEA],0),MATCH(D$3,Data[#Headers],0))</f>
        <v>359758</v>
      </c>
      <c r="E6" s="24">
        <f>INDEX(Data[],MATCH($A6,Data[AEA],0),MATCH(E$3,Data[#Headers],0))</f>
        <v>359758</v>
      </c>
      <c r="F6" s="24">
        <f t="shared" si="0"/>
        <v>3237815</v>
      </c>
      <c r="I6">
        <v>92070000</v>
      </c>
      <c r="J6" s="6">
        <v>359758</v>
      </c>
      <c r="K6" t="str">
        <f t="shared" si="1"/>
        <v>07</v>
      </c>
      <c r="L6" s="6">
        <f t="shared" si="2"/>
        <v>0</v>
      </c>
    </row>
    <row r="7" spans="1:12" x14ac:dyDescent="0.25">
      <c r="A7" s="44" t="str">
        <f>Data!A5</f>
        <v>09</v>
      </c>
      <c r="B7" s="45" t="str">
        <f>INDEX(Data[],MATCH($A7,Data[AEA],0),MATCH(B$3,Data[#Headers],0))</f>
        <v>Mississippi Bend AEA 9</v>
      </c>
      <c r="C7" s="24">
        <f>INDEX(Data[],MATCH($A7,Data[AEA],0),MATCH(C$3,Data[#Headers],0))</f>
        <v>2178763</v>
      </c>
      <c r="D7" s="24">
        <f>INDEX(Data[],MATCH($A7,Data[AEA],0),MATCH(D$3,Data[#Headers],0))</f>
        <v>217877</v>
      </c>
      <c r="E7" s="24">
        <f>INDEX(Data[],MATCH($A7,Data[AEA],0),MATCH(E$3,Data[#Headers],0))</f>
        <v>217877</v>
      </c>
      <c r="F7" s="24">
        <f t="shared" si="0"/>
        <v>1960886</v>
      </c>
      <c r="I7">
        <v>92090000</v>
      </c>
      <c r="J7" s="6">
        <v>217877</v>
      </c>
      <c r="K7" t="str">
        <f t="shared" si="1"/>
        <v>09</v>
      </c>
      <c r="L7" s="6">
        <f t="shared" si="2"/>
        <v>0</v>
      </c>
    </row>
    <row r="8" spans="1:12" x14ac:dyDescent="0.25">
      <c r="A8" s="44" t="str">
        <f>Data!A6</f>
        <v>10</v>
      </c>
      <c r="B8" s="45" t="str">
        <f>INDEX(Data[],MATCH($A8,Data[AEA],0),MATCH(B$3,Data[#Headers],0))</f>
        <v>Grant Wood AEA 10</v>
      </c>
      <c r="C8" s="24">
        <f>INDEX(Data[],MATCH($A8,Data[AEA],0),MATCH(C$3,Data[#Headers],0))</f>
        <v>3322375</v>
      </c>
      <c r="D8" s="24">
        <f>INDEX(Data[],MATCH($A8,Data[AEA],0),MATCH(D$3,Data[#Headers],0))</f>
        <v>332237</v>
      </c>
      <c r="E8" s="24">
        <f>INDEX(Data[],MATCH($A8,Data[AEA],0),MATCH(E$3,Data[#Headers],0))</f>
        <v>332237</v>
      </c>
      <c r="F8" s="24">
        <f t="shared" si="0"/>
        <v>2990138</v>
      </c>
      <c r="I8">
        <v>92100000</v>
      </c>
      <c r="J8" s="6">
        <v>332237</v>
      </c>
      <c r="K8" t="str">
        <f t="shared" si="1"/>
        <v>10</v>
      </c>
      <c r="L8" s="6">
        <f t="shared" si="2"/>
        <v>0</v>
      </c>
    </row>
    <row r="9" spans="1:12" x14ac:dyDescent="0.25">
      <c r="A9" s="44" t="str">
        <f>Data!A7</f>
        <v>11</v>
      </c>
      <c r="B9" s="45" t="str">
        <f>INDEX(Data[],MATCH($A9,Data[AEA],0),MATCH(B$3,Data[#Headers],0))</f>
        <v>Heartland AEA 11</v>
      </c>
      <c r="C9" s="24">
        <f>INDEX(Data[],MATCH($A9,Data[AEA],0),MATCH(C$3,Data[#Headers],0))</f>
        <v>6332607</v>
      </c>
      <c r="D9" s="24">
        <f>INDEX(Data[],MATCH($A9,Data[AEA],0),MATCH(D$3,Data[#Headers],0))</f>
        <v>633266</v>
      </c>
      <c r="E9" s="24">
        <f>INDEX(Data[],MATCH($A9,Data[AEA],0),MATCH(E$3,Data[#Headers],0))</f>
        <v>633266</v>
      </c>
      <c r="F9" s="24">
        <f t="shared" si="0"/>
        <v>5699341</v>
      </c>
      <c r="I9">
        <v>92110000</v>
      </c>
      <c r="J9" s="6">
        <v>633266</v>
      </c>
      <c r="K9" t="str">
        <f t="shared" si="1"/>
        <v>11</v>
      </c>
      <c r="L9" s="6">
        <f t="shared" si="2"/>
        <v>0</v>
      </c>
    </row>
    <row r="10" spans="1:12" x14ac:dyDescent="0.25">
      <c r="A10" s="44" t="str">
        <f>Data!A8</f>
        <v>12</v>
      </c>
      <c r="B10" s="45" t="str">
        <f>INDEX(Data[],MATCH($A10,Data[AEA],0),MATCH(B$3,Data[#Headers],0))</f>
        <v>Northwest AEA</v>
      </c>
      <c r="C10" s="24">
        <f>INDEX(Data[],MATCH($A10,Data[AEA],0),MATCH(C$3,Data[#Headers],0))</f>
        <v>2448724</v>
      </c>
      <c r="D10" s="24">
        <f>INDEX(Data[],MATCH($A10,Data[AEA],0),MATCH(D$3,Data[#Headers],0))</f>
        <v>244874</v>
      </c>
      <c r="E10" s="24">
        <f>INDEX(Data[],MATCH($A10,Data[AEA],0),MATCH(E$3,Data[#Headers],0))</f>
        <v>244874</v>
      </c>
      <c r="F10" s="24">
        <f t="shared" si="0"/>
        <v>2203850</v>
      </c>
      <c r="I10">
        <v>92120000</v>
      </c>
      <c r="J10" s="6">
        <v>244874</v>
      </c>
      <c r="K10" t="str">
        <f t="shared" si="1"/>
        <v>12</v>
      </c>
      <c r="L10" s="6">
        <f t="shared" si="2"/>
        <v>0</v>
      </c>
    </row>
    <row r="11" spans="1:12" x14ac:dyDescent="0.25">
      <c r="A11" s="44" t="str">
        <f>Data!A9</f>
        <v>13</v>
      </c>
      <c r="B11" s="45" t="str">
        <f>INDEX(Data[],MATCH($A11,Data[AEA],0),MATCH(B$3,Data[#Headers],0))</f>
        <v>Green Hills AEA 13</v>
      </c>
      <c r="C11" s="24">
        <f>INDEX(Data[],MATCH($A11,Data[AEA],0),MATCH(C$3,Data[#Headers],0))</f>
        <v>1717250</v>
      </c>
      <c r="D11" s="24">
        <f>INDEX(Data[],MATCH($A11,Data[AEA],0),MATCH(D$3,Data[#Headers],0))</f>
        <v>171727</v>
      </c>
      <c r="E11" s="24">
        <f>INDEX(Data[],MATCH($A11,Data[AEA],0),MATCH(E$3,Data[#Headers],0))</f>
        <v>171727</v>
      </c>
      <c r="F11" s="24">
        <f t="shared" si="0"/>
        <v>1545523</v>
      </c>
      <c r="I11">
        <v>92130000</v>
      </c>
      <c r="J11" s="6">
        <v>171727</v>
      </c>
      <c r="K11" t="str">
        <f t="shared" si="1"/>
        <v>13</v>
      </c>
      <c r="L11" s="6">
        <f t="shared" si="2"/>
        <v>0</v>
      </c>
    </row>
    <row r="12" spans="1:12" x14ac:dyDescent="0.25">
      <c r="A12" s="44" t="str">
        <f>Data!A10</f>
        <v>15</v>
      </c>
      <c r="B12" s="45" t="str">
        <f>INDEX(Data[],MATCH($A12,Data[AEA],0),MATCH(B$3,Data[#Headers],0))</f>
        <v>Great Prairie AEA 15</v>
      </c>
      <c r="C12" s="24">
        <f>INDEX(Data[],MATCH($A12,Data[AEA],0),MATCH(C$3,Data[#Headers],0))</f>
        <v>1558068</v>
      </c>
      <c r="D12" s="24">
        <f>INDEX(Data[],MATCH($A12,Data[AEA],0),MATCH(D$3,Data[#Headers],0))</f>
        <v>155809</v>
      </c>
      <c r="E12" s="24">
        <f>INDEX(Data[],MATCH($A12,Data[AEA],0),MATCH(E$3,Data[#Headers],0))</f>
        <v>155809</v>
      </c>
      <c r="F12" s="24">
        <f t="shared" si="0"/>
        <v>1402259</v>
      </c>
      <c r="I12">
        <v>92150000</v>
      </c>
      <c r="J12" s="6">
        <v>155809</v>
      </c>
      <c r="K12" t="str">
        <f t="shared" si="1"/>
        <v>15</v>
      </c>
      <c r="L12" s="6">
        <f t="shared" si="2"/>
        <v>0</v>
      </c>
    </row>
    <row r="13" spans="1:12" ht="15.75" thickBot="1" x14ac:dyDescent="0.3">
      <c r="A13" s="39"/>
      <c r="B13" s="39"/>
      <c r="C13" s="51">
        <f>SUM(C4:C12)</f>
        <v>24486316</v>
      </c>
      <c r="D13" s="51">
        <f t="shared" ref="D13:F13" si="3">SUM(D4:D12)</f>
        <v>2448644</v>
      </c>
      <c r="E13" s="51">
        <f t="shared" si="3"/>
        <v>2448644</v>
      </c>
      <c r="F13" s="51">
        <f t="shared" si="3"/>
        <v>22037672</v>
      </c>
      <c r="J13" s="6">
        <f>SUM(J4:J12)</f>
        <v>2448644</v>
      </c>
    </row>
    <row r="14" spans="1:12" ht="15.75" thickTop="1" x14ac:dyDescent="0.25"/>
    <row r="17" spans="9:12" x14ac:dyDescent="0.25">
      <c r="I17" t="s">
        <v>762</v>
      </c>
      <c r="J17" s="6" t="s">
        <v>2</v>
      </c>
      <c r="L17" s="29" t="s">
        <v>764</v>
      </c>
    </row>
    <row r="18" spans="9:12" x14ac:dyDescent="0.25">
      <c r="I18">
        <v>92010000</v>
      </c>
      <c r="J18" s="6">
        <v>173584</v>
      </c>
      <c r="K18" t="str">
        <f>MID(I18,3,2)</f>
        <v>01</v>
      </c>
      <c r="L18" s="6">
        <f>INDEX($A$4:$F$12,MATCH(K18,$A$4:$A$12,0),4)-J18</f>
        <v>3</v>
      </c>
    </row>
    <row r="19" spans="9:12" x14ac:dyDescent="0.25">
      <c r="I19">
        <v>92050000</v>
      </c>
      <c r="J19" s="6">
        <v>159508</v>
      </c>
      <c r="K19" t="str">
        <f t="shared" ref="K19:K26" si="4">MID(I19,3,2)</f>
        <v>05</v>
      </c>
      <c r="L19" s="6">
        <f t="shared" ref="L19:L26" si="5">INDEX($A$4:$F$12,MATCH(K19,$A$4:$A$12,0),4)-J19</f>
        <v>1</v>
      </c>
    </row>
    <row r="20" spans="9:12" x14ac:dyDescent="0.25">
      <c r="I20">
        <v>92070000</v>
      </c>
      <c r="J20" s="6">
        <v>359751</v>
      </c>
      <c r="K20" t="str">
        <f t="shared" si="4"/>
        <v>07</v>
      </c>
      <c r="L20" s="6">
        <f t="shared" si="5"/>
        <v>7</v>
      </c>
    </row>
    <row r="21" spans="9:12" x14ac:dyDescent="0.25">
      <c r="I21">
        <v>92090000</v>
      </c>
      <c r="J21" s="6">
        <v>217870</v>
      </c>
      <c r="K21" t="str">
        <f t="shared" si="4"/>
        <v>09</v>
      </c>
      <c r="L21" s="6">
        <f t="shared" si="5"/>
        <v>7</v>
      </c>
    </row>
    <row r="22" spans="9:12" x14ac:dyDescent="0.25">
      <c r="I22">
        <v>92100000</v>
      </c>
      <c r="J22" s="6">
        <v>332242</v>
      </c>
      <c r="K22" t="str">
        <f t="shared" si="4"/>
        <v>10</v>
      </c>
      <c r="L22" s="6">
        <f t="shared" si="5"/>
        <v>-5</v>
      </c>
    </row>
    <row r="23" spans="9:12" x14ac:dyDescent="0.25">
      <c r="I23">
        <v>92110000</v>
      </c>
      <c r="J23" s="6">
        <v>633213</v>
      </c>
      <c r="K23" t="str">
        <f t="shared" si="4"/>
        <v>11</v>
      </c>
      <c r="L23" s="6">
        <f t="shared" si="5"/>
        <v>53</v>
      </c>
    </row>
    <row r="24" spans="9:12" x14ac:dyDescent="0.25">
      <c r="I24">
        <v>92120000</v>
      </c>
      <c r="J24" s="6">
        <v>244858</v>
      </c>
      <c r="K24" t="str">
        <f t="shared" si="4"/>
        <v>12</v>
      </c>
      <c r="L24" s="6">
        <f t="shared" si="5"/>
        <v>16</v>
      </c>
    </row>
    <row r="25" spans="9:12" x14ac:dyDescent="0.25">
      <c r="I25">
        <v>92130000</v>
      </c>
      <c r="J25" s="6">
        <v>171707</v>
      </c>
      <c r="K25" t="str">
        <f t="shared" si="4"/>
        <v>13</v>
      </c>
      <c r="L25" s="6">
        <f t="shared" si="5"/>
        <v>20</v>
      </c>
    </row>
    <row r="26" spans="9:12" x14ac:dyDescent="0.25">
      <c r="I26">
        <v>92150000</v>
      </c>
      <c r="J26" s="6">
        <v>155787</v>
      </c>
      <c r="K26" t="str">
        <f t="shared" si="4"/>
        <v>15</v>
      </c>
      <c r="L26" s="6">
        <f t="shared" si="5"/>
        <v>22</v>
      </c>
    </row>
    <row r="27" spans="9:12" x14ac:dyDescent="0.25">
      <c r="J27" s="6">
        <f>SUM(J18:J26)</f>
        <v>2448520</v>
      </c>
      <c r="L27" s="6"/>
    </row>
  </sheetData>
  <sheetProtection sheet="1" objects="1" scenarios="1"/>
  <mergeCells count="1">
    <mergeCell ref="A1:F1"/>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Notes!$I$2:$I$11</xm:f>
          </x14:formula1>
          <xm:sqref>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0F290-9B74-424F-9292-512575D86326}">
  <sheetPr>
    <tabColor rgb="FFFF0000"/>
    <pageSetUpPr fitToPage="1"/>
  </sheetPr>
  <dimension ref="A1:L39"/>
  <sheetViews>
    <sheetView topLeftCell="A6" zoomScale="90" zoomScaleNormal="90" workbookViewId="0">
      <selection activeCell="C41" sqref="C41"/>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12" bestFit="1" customWidth="1"/>
    <col min="12" max="12" width="11" bestFit="1" customWidth="1"/>
    <col min="13" max="13" width="12.140625" bestFit="1" customWidth="1"/>
  </cols>
  <sheetData>
    <row r="1" spans="1:11" ht="45" customHeight="1" x14ac:dyDescent="0.25">
      <c r="A1" s="66" t="str">
        <f>_xlfn.CONCAT("FY ",K2," AEA Enrollments and Cost - Final - State Aid and Property Tax Breakdown")</f>
        <v>FY 2026 AEA Enrollments and Cost - Final - State Aid and Property Tax Breakdown</v>
      </c>
      <c r="B1" s="66"/>
      <c r="C1" s="66"/>
      <c r="D1" s="66"/>
      <c r="E1" s="66"/>
      <c r="F1" s="66"/>
      <c r="G1" s="66"/>
      <c r="H1" s="66"/>
      <c r="I1" s="66"/>
    </row>
    <row r="2" spans="1:11" s="10" customFormat="1" ht="45" x14ac:dyDescent="0.25">
      <c r="A2" s="7" t="s">
        <v>46</v>
      </c>
      <c r="B2" s="7" t="s">
        <v>47</v>
      </c>
      <c r="C2" s="8" t="str">
        <f>Data_Detail_OLD[[#Headers],[AEA Special Ed Support District Cost Formula Generated]]</f>
        <v>AEA Special Ed Support District Cost Formula Generated</v>
      </c>
      <c r="D2" s="8" t="str">
        <f>Data_Detail_OLD[[#Headers],[State Aid Portion Special Ed]]</f>
        <v>State Aid Portion Special Ed</v>
      </c>
      <c r="E2" s="8" t="str">
        <f>Data_Detail_OLD[[#Headers],[AEA Statewide State Aid Reduction]]</f>
        <v>AEA Statewide State Aid Reduction</v>
      </c>
      <c r="F2" s="21" t="str">
        <f>Data_Detail_OLD[[#Headers],[State Aid Special Ed Minus Reduction]]</f>
        <v>State Aid Special Ed Minus Reduction</v>
      </c>
      <c r="G2" s="33" t="str">
        <f>Data_Detail_OLD[[#Headers],[Special Education Property Tax Portion]]</f>
        <v>Special Education Property Tax Portion</v>
      </c>
      <c r="H2" s="33" t="str">
        <f>Data_Detail_OLD[[#Headers],[AEA Special Ed Support Adjustment]]</f>
        <v>AEA Special Ed Support Adjustment</v>
      </c>
      <c r="I2" s="8" t="str">
        <f>Data_Detail_OLD[[#Headers],[Total Special Ed Funding Removing Reduction Including Adjustment]]</f>
        <v>Total Special Ed Funding Removing Reduction Including Adjustment</v>
      </c>
      <c r="K2" s="10">
        <f>Notes!B1</f>
        <v>2026</v>
      </c>
    </row>
    <row r="3" spans="1:11" x14ac:dyDescent="0.25">
      <c r="A3" s="18" t="str">
        <f>Data!A2</f>
        <v>01</v>
      </c>
      <c r="B3" s="11" t="str">
        <f>INDEX(Data_Detail_OLD[],MATCH('PaymentCodingDetailCheck-old'!$A3,Data_Detail_OLD[AEA],0),3)</f>
        <v>Keystone AEA 1</v>
      </c>
      <c r="C3" s="12">
        <f>('PaymentCodingDetai_Sept-May-old'!C3*9)+'PaymentCodingDetail_June-old'!C3-'PaymentCodingTotal-old'!C3</f>
        <v>0</v>
      </c>
      <c r="D3" s="12">
        <f>('PaymentCodingDetai_Sept-May-old'!D3*9)+'PaymentCodingDetail_June-old'!D3-'PaymentCodingTotal-old'!D3</f>
        <v>0</v>
      </c>
      <c r="E3" s="12">
        <f>('PaymentCodingDetai_Sept-May-old'!E3*9)+'PaymentCodingDetail_June-old'!E3-'PaymentCodingTotal-old'!E3</f>
        <v>0</v>
      </c>
      <c r="F3" s="22">
        <f>('PaymentCodingDetai_Sept-May-old'!F3*9)+'PaymentCodingDetail_June-old'!F3-'PaymentCodingTotal-old'!F3</f>
        <v>0</v>
      </c>
      <c r="G3" s="34">
        <f>('PaymentCodingDetai_Sept-May-old'!G3*9)+'PaymentCodingDetail_June-old'!G3-'PaymentCodingTotal-old'!G3</f>
        <v>0</v>
      </c>
      <c r="H3" s="34">
        <f>('PaymentCodingDetai_Sept-May-old'!H3*9)+'PaymentCodingDetail_June-old'!H3-'PaymentCodingTotal-old'!H3</f>
        <v>0</v>
      </c>
      <c r="I3" s="12">
        <f>('PaymentCodingDetai_Sept-May-old'!I3*9)+'PaymentCodingDetail_June-old'!I3-'PaymentCodingTotal-old'!I3</f>
        <v>0</v>
      </c>
      <c r="K3" s="6">
        <f>G12+D24+H12+C36+D36-G36</f>
        <v>-10</v>
      </c>
    </row>
    <row r="4" spans="1:11" x14ac:dyDescent="0.25">
      <c r="A4" s="18" t="str">
        <f>Data!A3</f>
        <v>05</v>
      </c>
      <c r="B4" s="11" t="str">
        <f>INDEX(Data_Detail_OLD[],MATCH('PaymentCodingDetailCheck-old'!$A4,Data_Detail_OLD[AEA],0),3)</f>
        <v>Prairie Lakes AEA 8</v>
      </c>
      <c r="C4" s="12">
        <f>('PaymentCodingDetai_Sept-May-old'!C4*9)+'PaymentCodingDetail_June-old'!C4-'PaymentCodingTotal-old'!C4</f>
        <v>0</v>
      </c>
      <c r="D4" s="12">
        <f>('PaymentCodingDetai_Sept-May-old'!D4*9)+'PaymentCodingDetail_June-old'!D4-'PaymentCodingTotal-old'!D4</f>
        <v>0</v>
      </c>
      <c r="E4" s="12">
        <f>('PaymentCodingDetai_Sept-May-old'!E4*9)+'PaymentCodingDetail_June-old'!E4-'PaymentCodingTotal-old'!E4</f>
        <v>0</v>
      </c>
      <c r="F4" s="22">
        <f>('PaymentCodingDetai_Sept-May-old'!F4*9)+'PaymentCodingDetail_June-old'!F4-'PaymentCodingTotal-old'!F4</f>
        <v>0</v>
      </c>
      <c r="G4" s="34">
        <f>('PaymentCodingDetai_Sept-May-old'!G4*9)+'PaymentCodingDetail_June-old'!G4-'PaymentCodingTotal-old'!G4</f>
        <v>0</v>
      </c>
      <c r="H4" s="34">
        <f>('PaymentCodingDetai_Sept-May-old'!H4*9)+'PaymentCodingDetail_June-old'!H4-'PaymentCodingTotal-old'!H4</f>
        <v>0</v>
      </c>
      <c r="I4" s="12">
        <f>('PaymentCodingDetai_Sept-May-old'!I4*9)+'PaymentCodingDetail_June-old'!I4-'PaymentCodingTotal-old'!I4</f>
        <v>0</v>
      </c>
      <c r="K4" s="6">
        <f>F12+C24+F24+G24-F36</f>
        <v>10</v>
      </c>
    </row>
    <row r="5" spans="1:11" x14ac:dyDescent="0.25">
      <c r="A5" s="18" t="str">
        <f>Data!A4</f>
        <v>07</v>
      </c>
      <c r="B5" s="11" t="str">
        <f>INDEX(Data_Detail_OLD[],MATCH('PaymentCodingDetailCheck-old'!$A5,Data_Detail_OLD[AEA],0),3)</f>
        <v>Central Rivers</v>
      </c>
      <c r="C5" s="12">
        <f>('PaymentCodingDetai_Sept-May-old'!C5*9)+'PaymentCodingDetail_June-old'!C5-'PaymentCodingTotal-old'!C5</f>
        <v>0</v>
      </c>
      <c r="D5" s="12">
        <f>('PaymentCodingDetai_Sept-May-old'!D5*9)+'PaymentCodingDetail_June-old'!D5-'PaymentCodingTotal-old'!D5</f>
        <v>0</v>
      </c>
      <c r="E5" s="12">
        <f>('PaymentCodingDetai_Sept-May-old'!E5*9)+'PaymentCodingDetail_June-old'!E5-'PaymentCodingTotal-old'!E5</f>
        <v>0</v>
      </c>
      <c r="F5" s="22">
        <f>('PaymentCodingDetai_Sept-May-old'!F5*9)+'PaymentCodingDetail_June-old'!F5-'PaymentCodingTotal-old'!F5</f>
        <v>0</v>
      </c>
      <c r="G5" s="34">
        <f>('PaymentCodingDetai_Sept-May-old'!G5*9)+'PaymentCodingDetail_June-old'!G5-'PaymentCodingTotal-old'!G5</f>
        <v>0</v>
      </c>
      <c r="H5" s="34">
        <f>('PaymentCodingDetai_Sept-May-old'!H5*9)+'PaymentCodingDetail_June-old'!H5-'PaymentCodingTotal-old'!H5</f>
        <v>0</v>
      </c>
      <c r="I5" s="12">
        <f>('PaymentCodingDetai_Sept-May-old'!I5*9)+'PaymentCodingDetail_June-old'!I5-'PaymentCodingTotal-old'!I5</f>
        <v>0</v>
      </c>
      <c r="K5" s="6">
        <f>F12+E12-D12</f>
        <v>0</v>
      </c>
    </row>
    <row r="6" spans="1:11" x14ac:dyDescent="0.25">
      <c r="A6" s="18" t="str">
        <f>Data!A5</f>
        <v>09</v>
      </c>
      <c r="B6" s="11" t="str">
        <f>INDEX(Data_Detail_OLD[],MATCH('PaymentCodingDetailCheck-old'!$A6,Data_Detail_OLD[AEA],0),3)</f>
        <v>Mississippi Bend AEA 9</v>
      </c>
      <c r="C6" s="12">
        <f>('PaymentCodingDetai_Sept-May-old'!C6*9)+'PaymentCodingDetail_June-old'!C6-'PaymentCodingTotal-old'!C6</f>
        <v>0</v>
      </c>
      <c r="D6" s="12">
        <f>('PaymentCodingDetai_Sept-May-old'!D6*9)+'PaymentCodingDetail_June-old'!D6-'PaymentCodingTotal-old'!D6</f>
        <v>0</v>
      </c>
      <c r="E6" s="12">
        <f>('PaymentCodingDetai_Sept-May-old'!E6*9)+'PaymentCodingDetail_June-old'!E6-'PaymentCodingTotal-old'!E6</f>
        <v>0</v>
      </c>
      <c r="F6" s="22">
        <f>('PaymentCodingDetai_Sept-May-old'!F6*9)+'PaymentCodingDetail_June-old'!F6-'PaymentCodingTotal-old'!F6</f>
        <v>0</v>
      </c>
      <c r="G6" s="34">
        <f>('PaymentCodingDetai_Sept-May-old'!G6*9)+'PaymentCodingDetail_June-old'!G6-'PaymentCodingTotal-old'!G6</f>
        <v>0</v>
      </c>
      <c r="H6" s="34">
        <f>('PaymentCodingDetai_Sept-May-old'!H6*9)+'PaymentCodingDetail_June-old'!H6-'PaymentCodingTotal-old'!H6</f>
        <v>0</v>
      </c>
      <c r="I6" s="12">
        <f>('PaymentCodingDetai_Sept-May-old'!I6*9)+'PaymentCodingDetail_June-old'!I6-'PaymentCodingTotal-old'!I6</f>
        <v>0</v>
      </c>
      <c r="K6" s="6">
        <f>H12+G12+F12-I12</f>
        <v>0</v>
      </c>
    </row>
    <row r="7" spans="1:11" x14ac:dyDescent="0.25">
      <c r="A7" s="18" t="str">
        <f>Data!A6</f>
        <v>10</v>
      </c>
      <c r="B7" s="11" t="str">
        <f>INDEX(Data_Detail_OLD[],MATCH('PaymentCodingDetailCheck-old'!$A7,Data_Detail_OLD[AEA],0),3)</f>
        <v>Grant Wood AEA 10</v>
      </c>
      <c r="C7" s="12">
        <f>('PaymentCodingDetai_Sept-May-old'!C7*9)+'PaymentCodingDetail_June-old'!C7-'PaymentCodingTotal-old'!C7</f>
        <v>0</v>
      </c>
      <c r="D7" s="12">
        <f>('PaymentCodingDetai_Sept-May-old'!D7*9)+'PaymentCodingDetail_June-old'!D7-'PaymentCodingTotal-old'!D7</f>
        <v>0</v>
      </c>
      <c r="E7" s="12">
        <f>('PaymentCodingDetai_Sept-May-old'!E7*9)+'PaymentCodingDetail_June-old'!E7-'PaymentCodingTotal-old'!E7</f>
        <v>0</v>
      </c>
      <c r="F7" s="22">
        <f>('PaymentCodingDetai_Sept-May-old'!F7*9)+'PaymentCodingDetail_June-old'!F7-'PaymentCodingTotal-old'!F7</f>
        <v>0</v>
      </c>
      <c r="G7" s="34">
        <f>('PaymentCodingDetai_Sept-May-old'!G7*9)+'PaymentCodingDetail_June-old'!G7-'PaymentCodingTotal-old'!G7</f>
        <v>0</v>
      </c>
      <c r="H7" s="34">
        <f>('PaymentCodingDetai_Sept-May-old'!H7*9)+'PaymentCodingDetail_June-old'!H7-'PaymentCodingTotal-old'!H7</f>
        <v>0</v>
      </c>
      <c r="I7" s="12">
        <f>('PaymentCodingDetai_Sept-May-old'!I7*9)+'PaymentCodingDetail_June-old'!I7-'PaymentCodingTotal-old'!I7</f>
        <v>0</v>
      </c>
      <c r="K7" s="6">
        <f>C24+D24-E24</f>
        <v>0</v>
      </c>
    </row>
    <row r="8" spans="1:11" x14ac:dyDescent="0.25">
      <c r="A8" s="18" t="str">
        <f>Data!A7</f>
        <v>11</v>
      </c>
      <c r="B8" s="11" t="str">
        <f>INDEX(Data_Detail_OLD[],MATCH('PaymentCodingDetailCheck-old'!$A8,Data_Detail_OLD[AEA],0),3)</f>
        <v>Heartland AEA 11</v>
      </c>
      <c r="C8" s="12">
        <f>('PaymentCodingDetai_Sept-May-old'!C8*9)+'PaymentCodingDetail_June-old'!C8-'PaymentCodingTotal-old'!C8</f>
        <v>0</v>
      </c>
      <c r="D8" s="12">
        <f>('PaymentCodingDetai_Sept-May-old'!D8*9)+'PaymentCodingDetail_June-old'!D8-'PaymentCodingTotal-old'!D8</f>
        <v>0</v>
      </c>
      <c r="E8" s="12">
        <f>('PaymentCodingDetai_Sept-May-old'!E8*9)+'PaymentCodingDetail_June-old'!E8-'PaymentCodingTotal-old'!E8</f>
        <v>0</v>
      </c>
      <c r="F8" s="22">
        <f>('PaymentCodingDetai_Sept-May-old'!F8*9)+'PaymentCodingDetail_June-old'!F8-'PaymentCodingTotal-old'!F8</f>
        <v>0</v>
      </c>
      <c r="G8" s="34">
        <f>('PaymentCodingDetai_Sept-May-old'!G8*9)+'PaymentCodingDetail_June-old'!G8-'PaymentCodingTotal-old'!G8</f>
        <v>0</v>
      </c>
      <c r="H8" s="34">
        <f>('PaymentCodingDetai_Sept-May-old'!H8*9)+'PaymentCodingDetail_June-old'!H8-'PaymentCodingTotal-old'!H8</f>
        <v>0</v>
      </c>
      <c r="I8" s="12">
        <f>('PaymentCodingDetai_Sept-May-old'!I8*9)+'PaymentCodingDetail_June-old'!I8-'PaymentCodingTotal-old'!I8</f>
        <v>0</v>
      </c>
    </row>
    <row r="9" spans="1:11" x14ac:dyDescent="0.25">
      <c r="A9" s="18" t="str">
        <f>Data!A8</f>
        <v>12</v>
      </c>
      <c r="B9" s="11" t="str">
        <f>INDEX(Data_Detail_OLD[],MATCH('PaymentCodingDetailCheck-old'!$A9,Data_Detail_OLD[AEA],0),3)</f>
        <v>Northwest AEA</v>
      </c>
      <c r="C9" s="12">
        <f>('PaymentCodingDetai_Sept-May-old'!C9*9)+'PaymentCodingDetail_June-old'!C9-'PaymentCodingTotal-old'!C9</f>
        <v>0</v>
      </c>
      <c r="D9" s="12">
        <f>('PaymentCodingDetai_Sept-May-old'!D9*9)+'PaymentCodingDetail_June-old'!D9-'PaymentCodingTotal-old'!D9</f>
        <v>0</v>
      </c>
      <c r="E9" s="12">
        <f>('PaymentCodingDetai_Sept-May-old'!E9*9)+'PaymentCodingDetail_June-old'!E9-'PaymentCodingTotal-old'!E9</f>
        <v>0</v>
      </c>
      <c r="F9" s="22">
        <f>('PaymentCodingDetai_Sept-May-old'!F9*9)+'PaymentCodingDetail_June-old'!F9-'PaymentCodingTotal-old'!F9</f>
        <v>0</v>
      </c>
      <c r="G9" s="34">
        <f>('PaymentCodingDetai_Sept-May-old'!G9*9)+'PaymentCodingDetail_June-old'!G9-'PaymentCodingTotal-old'!G9</f>
        <v>0</v>
      </c>
      <c r="H9" s="34">
        <f>('PaymentCodingDetai_Sept-May-old'!H9*9)+'PaymentCodingDetail_June-old'!H9-'PaymentCodingTotal-old'!H9</f>
        <v>0</v>
      </c>
      <c r="I9" s="12">
        <f>('PaymentCodingDetai_Sept-May-old'!I9*9)+'PaymentCodingDetail_June-old'!I9-'PaymentCodingTotal-old'!I9</f>
        <v>0</v>
      </c>
    </row>
    <row r="10" spans="1:11" x14ac:dyDescent="0.25">
      <c r="A10" s="18" t="str">
        <f>Data!A9</f>
        <v>13</v>
      </c>
      <c r="B10" s="11" t="str">
        <f>INDEX(Data_Detail_OLD[],MATCH('PaymentCodingDetailCheck-old'!$A10,Data_Detail_OLD[AEA],0),3)</f>
        <v>Green Hills AEA 13</v>
      </c>
      <c r="C10" s="12">
        <f>('PaymentCodingDetai_Sept-May-old'!C10*9)+'PaymentCodingDetail_June-old'!C10-'PaymentCodingTotal-old'!C10</f>
        <v>0</v>
      </c>
      <c r="D10" s="12">
        <f>('PaymentCodingDetai_Sept-May-old'!D10*9)+'PaymentCodingDetail_June-old'!D10-'PaymentCodingTotal-old'!D10</f>
        <v>0</v>
      </c>
      <c r="E10" s="12">
        <f>('PaymentCodingDetai_Sept-May-old'!E10*9)+'PaymentCodingDetail_June-old'!E10-'PaymentCodingTotal-old'!E10</f>
        <v>0</v>
      </c>
      <c r="F10" s="22">
        <f>('PaymentCodingDetai_Sept-May-old'!F10*9)+'PaymentCodingDetail_June-old'!F10-'PaymentCodingTotal-old'!F10</f>
        <v>0</v>
      </c>
      <c r="G10" s="34">
        <f>('PaymentCodingDetai_Sept-May-old'!G10*9)+'PaymentCodingDetail_June-old'!G10-'PaymentCodingTotal-old'!G10</f>
        <v>0</v>
      </c>
      <c r="H10" s="34">
        <f>('PaymentCodingDetai_Sept-May-old'!H10*9)+'PaymentCodingDetail_June-old'!H10-'PaymentCodingTotal-old'!H10</f>
        <v>0</v>
      </c>
      <c r="I10" s="12">
        <f>('PaymentCodingDetai_Sept-May-old'!I10*9)+'PaymentCodingDetail_June-old'!I10-'PaymentCodingTotal-old'!I10</f>
        <v>0</v>
      </c>
    </row>
    <row r="11" spans="1:11" x14ac:dyDescent="0.25">
      <c r="A11" s="18" t="str">
        <f>Data!A10</f>
        <v>15</v>
      </c>
      <c r="B11" s="11" t="str">
        <f>INDEX(Data_Detail_OLD[],MATCH('PaymentCodingDetailCheck-old'!$A11,Data_Detail_OLD[AEA],0),3)</f>
        <v>Great Prairie AEA 15</v>
      </c>
      <c r="C11" s="12">
        <f>('PaymentCodingDetai_Sept-May-old'!C11*9)+'PaymentCodingDetail_June-old'!C11-'PaymentCodingTotal-old'!C11</f>
        <v>0</v>
      </c>
      <c r="D11" s="12">
        <f>('PaymentCodingDetai_Sept-May-old'!D11*9)+'PaymentCodingDetail_June-old'!D11-'PaymentCodingTotal-old'!D11</f>
        <v>0</v>
      </c>
      <c r="E11" s="12">
        <f>('PaymentCodingDetai_Sept-May-old'!E11*9)+'PaymentCodingDetail_June-old'!E11-'PaymentCodingTotal-old'!E11</f>
        <v>0</v>
      </c>
      <c r="F11" s="22">
        <f>('PaymentCodingDetai_Sept-May-old'!F11*9)+'PaymentCodingDetail_June-old'!F11-'PaymentCodingTotal-old'!F11</f>
        <v>0</v>
      </c>
      <c r="G11" s="34">
        <f>('PaymentCodingDetai_Sept-May-old'!G11*9)+'PaymentCodingDetail_June-old'!G11-'PaymentCodingTotal-old'!G11</f>
        <v>0</v>
      </c>
      <c r="H11" s="34">
        <f>('PaymentCodingDetai_Sept-May-old'!H11*9)+'PaymentCodingDetail_June-old'!H11-'PaymentCodingTotal-old'!H11</f>
        <v>0</v>
      </c>
      <c r="I11" s="12">
        <f>('PaymentCodingDetai_Sept-May-old'!I11*9)+'PaymentCodingDetail_June-old'!I11-'PaymentCodingTotal-old'!I11</f>
        <v>0</v>
      </c>
    </row>
    <row r="12" spans="1:11" ht="15.75" thickBot="1" x14ac:dyDescent="0.3">
      <c r="C12" s="13">
        <f>SUM(C3:C11)</f>
        <v>0</v>
      </c>
      <c r="D12" s="13">
        <f t="shared" ref="D12:I12" si="0">SUM(D3:D11)</f>
        <v>0</v>
      </c>
      <c r="E12" s="13">
        <f t="shared" si="0"/>
        <v>0</v>
      </c>
      <c r="F12" s="23">
        <f t="shared" si="0"/>
        <v>0</v>
      </c>
      <c r="G12" s="35">
        <f t="shared" si="0"/>
        <v>0</v>
      </c>
      <c r="H12" s="35">
        <f>SUM(H3:H11)</f>
        <v>0</v>
      </c>
      <c r="I12" s="16">
        <f t="shared" si="0"/>
        <v>0</v>
      </c>
    </row>
    <row r="13" spans="1:11" ht="7.5" customHeight="1" thickTop="1" x14ac:dyDescent="0.25"/>
    <row r="14" spans="1:11" ht="45" x14ac:dyDescent="0.25">
      <c r="A14" s="17" t="str">
        <f t="shared" ref="A14:B23" si="1">A2</f>
        <v>AEA</v>
      </c>
      <c r="B14" s="17" t="str">
        <f t="shared" si="1"/>
        <v>AEA Name</v>
      </c>
      <c r="C14" s="21" t="str">
        <f>Data_Detail_OLD[[#Headers],[State Aid Portion Sharing Operations]]</f>
        <v>State Aid Portion Sharing Operations</v>
      </c>
      <c r="D14" s="33" t="str">
        <f>Data_Detail_OLD[[#Headers],[Sharing Operations Property Tax]]</f>
        <v>Sharing Operations Property Tax</v>
      </c>
      <c r="E14" s="33" t="str">
        <f>Data_Detail_OLD[[#Headers],[Total AEA Sharing Operations]]</f>
        <v>Total AEA Sharing Operations</v>
      </c>
      <c r="F14" s="21" t="str">
        <f>Data_Detail_OLD[[#Headers],[AEA Teacher Salary Supplement District Cost]]</f>
        <v>AEA Teacher Salary Supplement District Cost</v>
      </c>
      <c r="G14" s="21" t="str">
        <f>Data_Detail_OLD[[#Headers],[AEA Professional Development Supplement District Cost]]</f>
        <v>AEA Professional Development Supplement District Cost</v>
      </c>
    </row>
    <row r="15" spans="1:11" x14ac:dyDescent="0.25">
      <c r="A15" s="11" t="str">
        <f t="shared" si="1"/>
        <v>01</v>
      </c>
      <c r="B15" s="11" t="str">
        <f t="shared" si="1"/>
        <v>Keystone AEA 1</v>
      </c>
      <c r="C15" s="22">
        <f>('PaymentCodingDetai_Sept-May-old'!C15*9)+'PaymentCodingDetail_June-old'!C15-'PaymentCodingTotal-old'!C15</f>
        <v>0</v>
      </c>
      <c r="D15" s="34">
        <f>('PaymentCodingDetai_Sept-May-old'!D15*9)+'PaymentCodingDetail_June-old'!D15-'PaymentCodingTotal-old'!D15</f>
        <v>0</v>
      </c>
      <c r="E15" s="34">
        <f>('PaymentCodingDetai_Sept-May-old'!E15*9)+'PaymentCodingDetail_June-old'!E15-'PaymentCodingTotal-old'!E15</f>
        <v>0</v>
      </c>
      <c r="F15" s="22">
        <f>('PaymentCodingDetai_Sept-May-old'!F15*9)+'PaymentCodingDetail_June-old'!F15-'PaymentCodingTotal-old'!F15</f>
        <v>0</v>
      </c>
      <c r="G15" s="22">
        <f>('PaymentCodingDetai_Sept-May-old'!G15*9)+'PaymentCodingDetail_June-old'!G15-'PaymentCodingTotal-old'!G15</f>
        <v>0</v>
      </c>
    </row>
    <row r="16" spans="1:11" x14ac:dyDescent="0.25">
      <c r="A16" s="11" t="str">
        <f t="shared" si="1"/>
        <v>05</v>
      </c>
      <c r="B16" s="11" t="str">
        <f t="shared" si="1"/>
        <v>Prairie Lakes AEA 8</v>
      </c>
      <c r="C16" s="22">
        <f>('PaymentCodingDetai_Sept-May-old'!C16*9)+'PaymentCodingDetail_June-old'!C16-'PaymentCodingTotal-old'!C16</f>
        <v>0</v>
      </c>
      <c r="D16" s="34">
        <f>('PaymentCodingDetai_Sept-May-old'!D16*9)+'PaymentCodingDetail_June-old'!D16-'PaymentCodingTotal-old'!D16</f>
        <v>0</v>
      </c>
      <c r="E16" s="34">
        <f>('PaymentCodingDetai_Sept-May-old'!E16*9)+'PaymentCodingDetail_June-old'!E16-'PaymentCodingTotal-old'!E16</f>
        <v>0</v>
      </c>
      <c r="F16" s="22">
        <f>('PaymentCodingDetai_Sept-May-old'!F16*9)+'PaymentCodingDetail_June-old'!F16-'PaymentCodingTotal-old'!F16</f>
        <v>0</v>
      </c>
      <c r="G16" s="22">
        <f>('PaymentCodingDetai_Sept-May-old'!G16*9)+'PaymentCodingDetail_June-old'!G16-'PaymentCodingTotal-old'!G16</f>
        <v>0</v>
      </c>
      <c r="H16" s="67" t="s">
        <v>77</v>
      </c>
    </row>
    <row r="17" spans="1:12" x14ac:dyDescent="0.25">
      <c r="A17" s="11" t="str">
        <f t="shared" si="1"/>
        <v>07</v>
      </c>
      <c r="B17" s="11" t="str">
        <f t="shared" si="1"/>
        <v>Central Rivers</v>
      </c>
      <c r="C17" s="22">
        <f>('PaymentCodingDetai_Sept-May-old'!C17*9)+'PaymentCodingDetail_June-old'!C17-'PaymentCodingTotal-old'!C17</f>
        <v>0</v>
      </c>
      <c r="D17" s="34">
        <f>('PaymentCodingDetai_Sept-May-old'!D17*9)+'PaymentCodingDetail_June-old'!D17-'PaymentCodingTotal-old'!D17</f>
        <v>0</v>
      </c>
      <c r="E17" s="34">
        <f>('PaymentCodingDetai_Sept-May-old'!E17*9)+'PaymentCodingDetail_June-old'!E17-'PaymentCodingTotal-old'!E17</f>
        <v>0</v>
      </c>
      <c r="F17" s="22">
        <f>('PaymentCodingDetai_Sept-May-old'!F17*9)+'PaymentCodingDetail_June-old'!F17-'PaymentCodingTotal-old'!F17</f>
        <v>0</v>
      </c>
      <c r="G17" s="22">
        <f>('PaymentCodingDetai_Sept-May-old'!G17*9)+'PaymentCodingDetail_June-old'!G17-'PaymentCodingTotal-old'!G17</f>
        <v>0</v>
      </c>
      <c r="H17" s="67"/>
    </row>
    <row r="18" spans="1:12" x14ac:dyDescent="0.25">
      <c r="A18" s="11" t="str">
        <f t="shared" si="1"/>
        <v>09</v>
      </c>
      <c r="B18" s="11" t="str">
        <f t="shared" si="1"/>
        <v>Mississippi Bend AEA 9</v>
      </c>
      <c r="C18" s="22">
        <f>('PaymentCodingDetai_Sept-May-old'!C18*9)+'PaymentCodingDetail_June-old'!C18-'PaymentCodingTotal-old'!C18</f>
        <v>0</v>
      </c>
      <c r="D18" s="34">
        <f>('PaymentCodingDetai_Sept-May-old'!D18*9)+'PaymentCodingDetail_June-old'!D18-'PaymentCodingTotal-old'!D18</f>
        <v>0</v>
      </c>
      <c r="E18" s="34">
        <f>('PaymentCodingDetai_Sept-May-old'!E18*9)+'PaymentCodingDetail_June-old'!E18-'PaymentCodingTotal-old'!E18</f>
        <v>0</v>
      </c>
      <c r="F18" s="22">
        <f>('PaymentCodingDetai_Sept-May-old'!F18*9)+'PaymentCodingDetail_June-old'!F18-'PaymentCodingTotal-old'!F18</f>
        <v>0</v>
      </c>
      <c r="G18" s="22">
        <f>('PaymentCodingDetai_Sept-May-old'!G18*9)+'PaymentCodingDetail_June-old'!G18-'PaymentCodingTotal-old'!G18</f>
        <v>0</v>
      </c>
      <c r="H18" s="68" t="s">
        <v>729</v>
      </c>
    </row>
    <row r="19" spans="1:12" x14ac:dyDescent="0.25">
      <c r="A19" s="11" t="str">
        <f t="shared" si="1"/>
        <v>10</v>
      </c>
      <c r="B19" s="11" t="str">
        <f t="shared" si="1"/>
        <v>Grant Wood AEA 10</v>
      </c>
      <c r="C19" s="22">
        <f>('PaymentCodingDetai_Sept-May-old'!C19*9)+'PaymentCodingDetail_June-old'!C19-'PaymentCodingTotal-old'!C19</f>
        <v>0</v>
      </c>
      <c r="D19" s="34">
        <f>('PaymentCodingDetai_Sept-May-old'!D19*9)+'PaymentCodingDetail_June-old'!D19-'PaymentCodingTotal-old'!D19</f>
        <v>0</v>
      </c>
      <c r="E19" s="34">
        <f>('PaymentCodingDetai_Sept-May-old'!E19*9)+'PaymentCodingDetail_June-old'!E19-'PaymentCodingTotal-old'!E19</f>
        <v>0</v>
      </c>
      <c r="F19" s="22">
        <f>('PaymentCodingDetai_Sept-May-old'!F19*9)+'PaymentCodingDetail_June-old'!F19-'PaymentCodingTotal-old'!F19</f>
        <v>0</v>
      </c>
      <c r="G19" s="22">
        <f>('PaymentCodingDetai_Sept-May-old'!G19*9)+'PaymentCodingDetail_June-old'!G19-'PaymentCodingTotal-old'!G19</f>
        <v>0</v>
      </c>
      <c r="H19" s="68"/>
    </row>
    <row r="20" spans="1:12" x14ac:dyDescent="0.25">
      <c r="A20" s="11" t="str">
        <f t="shared" si="1"/>
        <v>11</v>
      </c>
      <c r="B20" s="11" t="str">
        <f t="shared" si="1"/>
        <v>Heartland AEA 11</v>
      </c>
      <c r="C20" s="22">
        <f>('PaymentCodingDetai_Sept-May-old'!C20*9)+'PaymentCodingDetail_June-old'!C20-'PaymentCodingTotal-old'!C20</f>
        <v>0</v>
      </c>
      <c r="D20" s="34">
        <f>('PaymentCodingDetai_Sept-May-old'!D20*9)+'PaymentCodingDetail_June-old'!D20-'PaymentCodingTotal-old'!D20</f>
        <v>0</v>
      </c>
      <c r="E20" s="34">
        <f>('PaymentCodingDetai_Sept-May-old'!E20*9)+'PaymentCodingDetail_June-old'!E20-'PaymentCodingTotal-old'!E20</f>
        <v>0</v>
      </c>
      <c r="F20" s="22">
        <f>('PaymentCodingDetai_Sept-May-old'!F20*9)+'PaymentCodingDetail_June-old'!F20-'PaymentCodingTotal-old'!F20</f>
        <v>0</v>
      </c>
      <c r="G20" s="22">
        <f>('PaymentCodingDetai_Sept-May-old'!G20*9)+'PaymentCodingDetail_June-old'!G20-'PaymentCodingTotal-old'!G20</f>
        <v>0</v>
      </c>
    </row>
    <row r="21" spans="1:12" x14ac:dyDescent="0.25">
      <c r="A21" s="11" t="str">
        <f t="shared" si="1"/>
        <v>12</v>
      </c>
      <c r="B21" s="11" t="str">
        <f t="shared" si="1"/>
        <v>Northwest AEA</v>
      </c>
      <c r="C21" s="22">
        <f>('PaymentCodingDetai_Sept-May-old'!C21*9)+'PaymentCodingDetail_June-old'!C21-'PaymentCodingTotal-old'!C21</f>
        <v>0</v>
      </c>
      <c r="D21" s="34">
        <f>('PaymentCodingDetai_Sept-May-old'!D21*9)+'PaymentCodingDetail_June-old'!D21-'PaymentCodingTotal-old'!D21</f>
        <v>0</v>
      </c>
      <c r="E21" s="34">
        <f>('PaymentCodingDetai_Sept-May-old'!E21*9)+'PaymentCodingDetail_June-old'!E21-'PaymentCodingTotal-old'!E21</f>
        <v>0</v>
      </c>
      <c r="F21" s="22">
        <f>('PaymentCodingDetai_Sept-May-old'!F21*9)+'PaymentCodingDetail_June-old'!F21-'PaymentCodingTotal-old'!F21</f>
        <v>0</v>
      </c>
      <c r="G21" s="22">
        <f>('PaymentCodingDetai_Sept-May-old'!G21*9)+'PaymentCodingDetail_June-old'!G21-'PaymentCodingTotal-old'!G21</f>
        <v>0</v>
      </c>
    </row>
    <row r="22" spans="1:12" x14ac:dyDescent="0.25">
      <c r="A22" s="11" t="str">
        <f t="shared" si="1"/>
        <v>13</v>
      </c>
      <c r="B22" s="11" t="str">
        <f t="shared" si="1"/>
        <v>Green Hills AEA 13</v>
      </c>
      <c r="C22" s="22">
        <f>('PaymentCodingDetai_Sept-May-old'!C22*9)+'PaymentCodingDetail_June-old'!C22-'PaymentCodingTotal-old'!C22</f>
        <v>0</v>
      </c>
      <c r="D22" s="34">
        <f>('PaymentCodingDetai_Sept-May-old'!D22*9)+'PaymentCodingDetail_June-old'!D22-'PaymentCodingTotal-old'!D22</f>
        <v>0</v>
      </c>
      <c r="E22" s="34">
        <f>('PaymentCodingDetai_Sept-May-old'!E22*9)+'PaymentCodingDetail_June-old'!E22-'PaymentCodingTotal-old'!E22</f>
        <v>0</v>
      </c>
      <c r="F22" s="22">
        <f>('PaymentCodingDetai_Sept-May-old'!F22*9)+'PaymentCodingDetail_June-old'!F22-'PaymentCodingTotal-old'!F22</f>
        <v>0</v>
      </c>
      <c r="G22" s="22">
        <f>('PaymentCodingDetai_Sept-May-old'!G22*9)+'PaymentCodingDetail_June-old'!G22-'PaymentCodingTotal-old'!G22</f>
        <v>0</v>
      </c>
    </row>
    <row r="23" spans="1:12" x14ac:dyDescent="0.25">
      <c r="A23" s="11" t="str">
        <f t="shared" si="1"/>
        <v>15</v>
      </c>
      <c r="B23" s="11" t="str">
        <f t="shared" si="1"/>
        <v>Great Prairie AEA 15</v>
      </c>
      <c r="C23" s="22">
        <f>('PaymentCodingDetai_Sept-May-old'!C23*9)+'PaymentCodingDetail_June-old'!C23-'PaymentCodingTotal-old'!C23</f>
        <v>0</v>
      </c>
      <c r="D23" s="34">
        <f>('PaymentCodingDetai_Sept-May-old'!D23*9)+'PaymentCodingDetail_June-old'!D23-'PaymentCodingTotal-old'!D23</f>
        <v>0</v>
      </c>
      <c r="E23" s="34">
        <f>('PaymentCodingDetai_Sept-May-old'!E23*9)+'PaymentCodingDetail_June-old'!E23-'PaymentCodingTotal-old'!E23</f>
        <v>0</v>
      </c>
      <c r="F23" s="22">
        <f>('PaymentCodingDetai_Sept-May-old'!F23*9)+'PaymentCodingDetail_June-old'!F23-'PaymentCodingTotal-old'!F23</f>
        <v>0</v>
      </c>
      <c r="G23" s="22">
        <f>('PaymentCodingDetai_Sept-May-old'!G23*9)+'PaymentCodingDetail_June-old'!G23-'PaymentCodingTotal-old'!G23</f>
        <v>0</v>
      </c>
    </row>
    <row r="24" spans="1:12" ht="15.75" thickBot="1" x14ac:dyDescent="0.3">
      <c r="C24" s="14">
        <f>SUM(C15:C23)</f>
        <v>0</v>
      </c>
      <c r="D24" s="35">
        <f>SUM(D15:D23)</f>
        <v>0</v>
      </c>
      <c r="E24" s="36">
        <f>SUM(E15:E23)</f>
        <v>0</v>
      </c>
      <c r="F24" s="23">
        <f>SUM(F15:F23)</f>
        <v>0</v>
      </c>
      <c r="G24" s="23">
        <f>SUM(G15:G23)</f>
        <v>0</v>
      </c>
    </row>
    <row r="25" spans="1:12" ht="7.5" customHeight="1" thickTop="1" x14ac:dyDescent="0.25">
      <c r="F25" s="6"/>
      <c r="G25" s="6"/>
      <c r="H25" s="6"/>
    </row>
    <row r="26" spans="1:12" ht="30" x14ac:dyDescent="0.25">
      <c r="A26" s="17" t="str">
        <f t="shared" ref="A26:B35" si="2">A14</f>
        <v>AEA</v>
      </c>
      <c r="B26" s="17" t="str">
        <f t="shared" si="2"/>
        <v>AEA Name</v>
      </c>
      <c r="C26" s="33" t="str">
        <f>Data_Detail_OLD[[#Headers],[AEA Media Services District Cost]]</f>
        <v>AEA Media Services District Cost</v>
      </c>
      <c r="D26" s="33" t="str">
        <f>Data_Detail_OLD[[#Headers],[AEA Ed Services District Cost]]</f>
        <v>AEA Ed Services District Cost</v>
      </c>
      <c r="E26" s="8" t="str">
        <f>Data_Detail_OLD[[#Headers],[Total Budget]]</f>
        <v>Total Budget</v>
      </c>
      <c r="F26" s="21" t="str">
        <f>Data_Detail_OLD[[#Headers],[State Aid Portion]]</f>
        <v>State Aid Portion</v>
      </c>
      <c r="G26" s="33" t="str">
        <f>Data_Detail_OLD[[#Headers],[Property Tax Portion]]</f>
        <v>Property Tax Portion</v>
      </c>
      <c r="H26" t="s">
        <v>76</v>
      </c>
      <c r="I26" t="s">
        <v>77</v>
      </c>
      <c r="J26" t="s">
        <v>78</v>
      </c>
    </row>
    <row r="27" spans="1:12" x14ac:dyDescent="0.25">
      <c r="A27" s="11" t="str">
        <f t="shared" si="2"/>
        <v>01</v>
      </c>
      <c r="B27" s="11" t="str">
        <f t="shared" si="2"/>
        <v>Keystone AEA 1</v>
      </c>
      <c r="C27" s="34">
        <f>('PaymentCodingDetai_Sept-May-old'!C27*9)+'PaymentCodingDetail_June-old'!C27-'PaymentCodingTotal-old'!C27</f>
        <v>0</v>
      </c>
      <c r="D27" s="34">
        <f>('PaymentCodingDetai_Sept-May-old'!D27*9)+'PaymentCodingDetail_June-old'!D27-'PaymentCodingTotal-old'!D27</f>
        <v>0</v>
      </c>
      <c r="E27" s="12">
        <f>('PaymentCodingDetai_Sept-May-old'!E27*9)+'PaymentCodingDetail_June-old'!E27-'PaymentCodingTotal-old'!E27</f>
        <v>-13528863</v>
      </c>
      <c r="F27" s="22">
        <f>('PaymentCodingDetai_Sept-May-old'!F27*9)+'PaymentCodingDetail_June-old'!F27-'PaymentCodingTotal-old'!F27</f>
        <v>-1</v>
      </c>
      <c r="G27" s="34">
        <f>('PaymentCodingDetai_Sept-May-old'!G27*9)+'PaymentCodingDetail_June-old'!G27-'PaymentCodingTotal-old'!G27</f>
        <v>1</v>
      </c>
      <c r="H27" s="6">
        <f>E27-D27-C27-G15-F15-E15-H3-G3-F3</f>
        <v>-13528863</v>
      </c>
      <c r="I27" s="6">
        <f>F27-G15-F15-C15-F3</f>
        <v>-1</v>
      </c>
      <c r="J27" s="6">
        <f>G27-D27-C27-D15-H3-G3</f>
        <v>1</v>
      </c>
      <c r="K27" s="6">
        <f>F27*9</f>
        <v>-9</v>
      </c>
      <c r="L27" s="6">
        <f>G27*9</f>
        <v>9</v>
      </c>
    </row>
    <row r="28" spans="1:12" x14ac:dyDescent="0.25">
      <c r="A28" s="11" t="str">
        <f t="shared" si="2"/>
        <v>05</v>
      </c>
      <c r="B28" s="11" t="str">
        <f t="shared" si="2"/>
        <v>Prairie Lakes AEA 8</v>
      </c>
      <c r="C28" s="34">
        <f>('PaymentCodingDetai_Sept-May-old'!C28*9)+'PaymentCodingDetail_June-old'!C28-'PaymentCodingTotal-old'!C28</f>
        <v>0</v>
      </c>
      <c r="D28" s="34">
        <f>('PaymentCodingDetai_Sept-May-old'!D28*9)+'PaymentCodingDetail_June-old'!D28-'PaymentCodingTotal-old'!D28</f>
        <v>0</v>
      </c>
      <c r="E28" s="12">
        <f>('PaymentCodingDetai_Sept-May-old'!E28*9)+'PaymentCodingDetail_June-old'!E28-'PaymentCodingTotal-old'!E28</f>
        <v>-14247062</v>
      </c>
      <c r="F28" s="22">
        <f>('PaymentCodingDetai_Sept-May-old'!F28*9)+'PaymentCodingDetail_June-old'!F28-'PaymentCodingTotal-old'!F28</f>
        <v>0</v>
      </c>
      <c r="G28" s="34">
        <f>('PaymentCodingDetai_Sept-May-old'!G28*9)+'PaymentCodingDetail_June-old'!G28-'PaymentCodingTotal-old'!G28</f>
        <v>0</v>
      </c>
      <c r="H28" s="6">
        <f t="shared" ref="H28:H36" si="3">E28-D28-C28-G16-F16-E16-H4-G4-F4</f>
        <v>-14247062</v>
      </c>
      <c r="I28" s="6">
        <f t="shared" ref="I28:I36" si="4">F28-G16-F16-C16-F4</f>
        <v>0</v>
      </c>
      <c r="J28" s="6">
        <f t="shared" ref="J28:J36" si="5">G28-D28-C28-D16-H4-G4</f>
        <v>0</v>
      </c>
      <c r="K28" s="6">
        <f t="shared" ref="K28:L35" si="6">F28*9</f>
        <v>0</v>
      </c>
      <c r="L28" s="6">
        <f t="shared" si="6"/>
        <v>0</v>
      </c>
    </row>
    <row r="29" spans="1:12" x14ac:dyDescent="0.25">
      <c r="A29" s="11" t="str">
        <f t="shared" si="2"/>
        <v>07</v>
      </c>
      <c r="B29" s="11" t="str">
        <f t="shared" si="2"/>
        <v>Central Rivers</v>
      </c>
      <c r="C29" s="34">
        <f>('PaymentCodingDetai_Sept-May-old'!C29*9)+'PaymentCodingDetail_June-old'!C29-'PaymentCodingTotal-old'!C29</f>
        <v>0</v>
      </c>
      <c r="D29" s="34">
        <f>('PaymentCodingDetai_Sept-May-old'!D29*9)+'PaymentCodingDetail_June-old'!D29-'PaymentCodingTotal-old'!D29</f>
        <v>0</v>
      </c>
      <c r="E29" s="12">
        <f>('PaymentCodingDetai_Sept-May-old'!E29*9)+'PaymentCodingDetail_June-old'!E29-'PaymentCodingTotal-old'!E29</f>
        <v>-28960941</v>
      </c>
      <c r="F29" s="22">
        <f>('PaymentCodingDetai_Sept-May-old'!F29*9)+'PaymentCodingDetail_June-old'!F29-'PaymentCodingTotal-old'!F29</f>
        <v>-6</v>
      </c>
      <c r="G29" s="34">
        <f>('PaymentCodingDetai_Sept-May-old'!G29*9)+'PaymentCodingDetail_June-old'!G29-'PaymentCodingTotal-old'!G29</f>
        <v>6</v>
      </c>
      <c r="H29" s="6">
        <f t="shared" si="3"/>
        <v>-28960941</v>
      </c>
      <c r="I29" s="6">
        <f t="shared" si="4"/>
        <v>-6</v>
      </c>
      <c r="J29" s="6">
        <f t="shared" si="5"/>
        <v>6</v>
      </c>
      <c r="K29" s="6">
        <f t="shared" si="6"/>
        <v>-54</v>
      </c>
      <c r="L29" s="6">
        <f t="shared" si="6"/>
        <v>54</v>
      </c>
    </row>
    <row r="30" spans="1:12" x14ac:dyDescent="0.25">
      <c r="A30" s="11" t="str">
        <f t="shared" si="2"/>
        <v>09</v>
      </c>
      <c r="B30" s="11" t="str">
        <f t="shared" si="2"/>
        <v>Mississippi Bend AEA 9</v>
      </c>
      <c r="C30" s="34">
        <f>('PaymentCodingDetai_Sept-May-old'!C30*9)+'PaymentCodingDetail_June-old'!C30-'PaymentCodingTotal-old'!C30</f>
        <v>0</v>
      </c>
      <c r="D30" s="34">
        <f>('PaymentCodingDetai_Sept-May-old'!D30*9)+'PaymentCodingDetail_June-old'!D30-'PaymentCodingTotal-old'!D30</f>
        <v>0</v>
      </c>
      <c r="E30" s="12">
        <f>('PaymentCodingDetai_Sept-May-old'!E30*9)+'PaymentCodingDetail_June-old'!E30-'PaymentCodingTotal-old'!E30</f>
        <v>-20699501</v>
      </c>
      <c r="F30" s="22">
        <f>('PaymentCodingDetai_Sept-May-old'!F30*9)+'PaymentCodingDetail_June-old'!F30-'PaymentCodingTotal-old'!F30</f>
        <v>-5</v>
      </c>
      <c r="G30" s="34">
        <f>('PaymentCodingDetai_Sept-May-old'!G30*9)+'PaymentCodingDetail_June-old'!G30-'PaymentCodingTotal-old'!G30</f>
        <v>5</v>
      </c>
      <c r="H30" s="6">
        <f t="shared" si="3"/>
        <v>-20699501</v>
      </c>
      <c r="I30" s="6">
        <f t="shared" si="4"/>
        <v>-5</v>
      </c>
      <c r="J30" s="6">
        <f t="shared" si="5"/>
        <v>5</v>
      </c>
      <c r="K30" s="6">
        <f t="shared" si="6"/>
        <v>-45</v>
      </c>
      <c r="L30" s="6">
        <f t="shared" si="6"/>
        <v>45</v>
      </c>
    </row>
    <row r="31" spans="1:12" x14ac:dyDescent="0.25">
      <c r="A31" s="11" t="str">
        <f t="shared" si="2"/>
        <v>10</v>
      </c>
      <c r="B31" s="11" t="str">
        <f t="shared" si="2"/>
        <v>Grant Wood AEA 10</v>
      </c>
      <c r="C31" s="34">
        <f>('PaymentCodingDetai_Sept-May-old'!C31*9)+'PaymentCodingDetail_June-old'!C31-'PaymentCodingTotal-old'!C31</f>
        <v>0</v>
      </c>
      <c r="D31" s="34">
        <f>('PaymentCodingDetai_Sept-May-old'!D31*9)+'PaymentCodingDetail_June-old'!D31-'PaymentCodingTotal-old'!D31</f>
        <v>0</v>
      </c>
      <c r="E31" s="12">
        <f>('PaymentCodingDetai_Sept-May-old'!E31*9)+'PaymentCodingDetail_June-old'!E31-'PaymentCodingTotal-old'!E31</f>
        <v>-31954283</v>
      </c>
      <c r="F31" s="22">
        <f>('PaymentCodingDetai_Sept-May-old'!F31*9)+'PaymentCodingDetail_June-old'!F31-'PaymentCodingTotal-old'!F31</f>
        <v>-2</v>
      </c>
      <c r="G31" s="34">
        <f>('PaymentCodingDetai_Sept-May-old'!G31*9)+'PaymentCodingDetail_June-old'!G31-'PaymentCodingTotal-old'!G31</f>
        <v>2</v>
      </c>
      <c r="H31" s="6">
        <f t="shared" si="3"/>
        <v>-31954283</v>
      </c>
      <c r="I31" s="6">
        <f t="shared" si="4"/>
        <v>-2</v>
      </c>
      <c r="J31" s="6">
        <f t="shared" si="5"/>
        <v>2</v>
      </c>
      <c r="K31" s="6">
        <f t="shared" si="6"/>
        <v>-18</v>
      </c>
      <c r="L31" s="6">
        <f t="shared" si="6"/>
        <v>18</v>
      </c>
    </row>
    <row r="32" spans="1:12" x14ac:dyDescent="0.25">
      <c r="A32" s="11" t="str">
        <f t="shared" si="2"/>
        <v>11</v>
      </c>
      <c r="B32" s="11" t="str">
        <f t="shared" si="2"/>
        <v>Heartland AEA 11</v>
      </c>
      <c r="C32" s="34">
        <f>('PaymentCodingDetai_Sept-May-old'!C32*9)+'PaymentCodingDetail_June-old'!C32-'PaymentCodingTotal-old'!C32</f>
        <v>0</v>
      </c>
      <c r="D32" s="34">
        <f>('PaymentCodingDetai_Sept-May-old'!D32*9)+'PaymentCodingDetail_June-old'!D32-'PaymentCodingTotal-old'!D32</f>
        <v>0</v>
      </c>
      <c r="E32" s="12">
        <f>('PaymentCodingDetai_Sept-May-old'!E32*9)+'PaymentCodingDetail_June-old'!E32-'PaymentCodingTotal-old'!E32</f>
        <v>-65154610</v>
      </c>
      <c r="F32" s="22">
        <f>('PaymentCodingDetai_Sept-May-old'!F32*9)+'PaymentCodingDetail_June-old'!F32-'PaymentCodingTotal-old'!F32</f>
        <v>0</v>
      </c>
      <c r="G32" s="34">
        <f>('PaymentCodingDetai_Sept-May-old'!G32*9)+'PaymentCodingDetail_June-old'!G32-'PaymentCodingTotal-old'!G32</f>
        <v>0</v>
      </c>
      <c r="H32" s="6">
        <f t="shared" si="3"/>
        <v>-65154610</v>
      </c>
      <c r="I32" s="6">
        <f t="shared" si="4"/>
        <v>0</v>
      </c>
      <c r="J32" s="6">
        <f t="shared" si="5"/>
        <v>0</v>
      </c>
      <c r="K32" s="6">
        <f t="shared" si="6"/>
        <v>0</v>
      </c>
      <c r="L32" s="6">
        <f t="shared" si="6"/>
        <v>0</v>
      </c>
    </row>
    <row r="33" spans="1:12" x14ac:dyDescent="0.25">
      <c r="A33" s="11" t="str">
        <f t="shared" si="2"/>
        <v>12</v>
      </c>
      <c r="B33" s="11" t="str">
        <f t="shared" si="2"/>
        <v>Northwest AEA</v>
      </c>
      <c r="C33" s="34">
        <f>('PaymentCodingDetai_Sept-May-old'!C33*9)+'PaymentCodingDetail_June-old'!C33-'PaymentCodingTotal-old'!C33</f>
        <v>0</v>
      </c>
      <c r="D33" s="34">
        <f>('PaymentCodingDetai_Sept-May-old'!D33*9)+'PaymentCodingDetail_June-old'!D33-'PaymentCodingTotal-old'!D33</f>
        <v>0</v>
      </c>
      <c r="E33" s="12">
        <f>('PaymentCodingDetai_Sept-May-old'!E33*9)+'PaymentCodingDetail_June-old'!E33-'PaymentCodingTotal-old'!E33</f>
        <v>-18849492</v>
      </c>
      <c r="F33" s="22">
        <f>('PaymentCodingDetai_Sept-May-old'!F33*9)+'PaymentCodingDetail_June-old'!F33-'PaymentCodingTotal-old'!F33</f>
        <v>-1</v>
      </c>
      <c r="G33" s="34">
        <f>('PaymentCodingDetai_Sept-May-old'!G33*9)+'PaymentCodingDetail_June-old'!G33-'PaymentCodingTotal-old'!G33</f>
        <v>1</v>
      </c>
      <c r="H33" s="6">
        <f t="shared" si="3"/>
        <v>-18849492</v>
      </c>
      <c r="I33" s="6">
        <f t="shared" si="4"/>
        <v>-1</v>
      </c>
      <c r="J33" s="6">
        <f t="shared" si="5"/>
        <v>1</v>
      </c>
      <c r="K33" s="6">
        <f t="shared" si="6"/>
        <v>-9</v>
      </c>
      <c r="L33" s="6">
        <f t="shared" si="6"/>
        <v>9</v>
      </c>
    </row>
    <row r="34" spans="1:12" x14ac:dyDescent="0.25">
      <c r="A34" s="11" t="str">
        <f t="shared" si="2"/>
        <v>13</v>
      </c>
      <c r="B34" s="11" t="str">
        <f t="shared" si="2"/>
        <v>Green Hills AEA 13</v>
      </c>
      <c r="C34" s="34">
        <f>('PaymentCodingDetai_Sept-May-old'!C34*9)+'PaymentCodingDetail_June-old'!C34-'PaymentCodingTotal-old'!C34</f>
        <v>0</v>
      </c>
      <c r="D34" s="34">
        <f>('PaymentCodingDetai_Sept-May-old'!D34*9)+'PaymentCodingDetail_June-old'!D34-'PaymentCodingTotal-old'!D34</f>
        <v>0</v>
      </c>
      <c r="E34" s="12">
        <f>('PaymentCodingDetai_Sept-May-old'!E34*9)+'PaymentCodingDetail_June-old'!E34-'PaymentCodingTotal-old'!E34</f>
        <v>-17308563</v>
      </c>
      <c r="F34" s="22">
        <f>('PaymentCodingDetai_Sept-May-old'!F34*9)+'PaymentCodingDetail_June-old'!F34-'PaymentCodingTotal-old'!F34</f>
        <v>4</v>
      </c>
      <c r="G34" s="34">
        <f>('PaymentCodingDetai_Sept-May-old'!G34*9)+'PaymentCodingDetail_June-old'!G34-'PaymentCodingTotal-old'!G34</f>
        <v>-4</v>
      </c>
      <c r="H34" s="6">
        <f t="shared" si="3"/>
        <v>-17308563</v>
      </c>
      <c r="I34" s="6">
        <f t="shared" si="4"/>
        <v>4</v>
      </c>
      <c r="J34" s="6">
        <f t="shared" si="5"/>
        <v>-4</v>
      </c>
      <c r="K34" s="6">
        <f t="shared" si="6"/>
        <v>36</v>
      </c>
      <c r="L34" s="6">
        <f t="shared" si="6"/>
        <v>-36</v>
      </c>
    </row>
    <row r="35" spans="1:12" x14ac:dyDescent="0.25">
      <c r="A35" s="11" t="str">
        <f t="shared" si="2"/>
        <v>15</v>
      </c>
      <c r="B35" s="11" t="str">
        <f t="shared" si="2"/>
        <v>Great Prairie AEA 15</v>
      </c>
      <c r="C35" s="34">
        <f>('PaymentCodingDetai_Sept-May-old'!C35*9)+'PaymentCodingDetail_June-old'!C35-'PaymentCodingTotal-old'!C35</f>
        <v>0</v>
      </c>
      <c r="D35" s="34">
        <f>('PaymentCodingDetai_Sept-May-old'!D35*9)+'PaymentCodingDetail_June-old'!D35-'PaymentCodingTotal-old'!D35</f>
        <v>0</v>
      </c>
      <c r="E35" s="12">
        <f>('PaymentCodingDetai_Sept-May-old'!E35*9)+'PaymentCodingDetail_June-old'!E35-'PaymentCodingTotal-old'!E35</f>
        <v>-15540061</v>
      </c>
      <c r="F35" s="22">
        <f>('PaymentCodingDetai_Sept-May-old'!F35*9)+'PaymentCodingDetail_June-old'!F35-'PaymentCodingTotal-old'!F35</f>
        <v>1</v>
      </c>
      <c r="G35" s="34">
        <f>('PaymentCodingDetai_Sept-May-old'!G35*9)+'PaymentCodingDetail_June-old'!G35-'PaymentCodingTotal-old'!G35</f>
        <v>-1</v>
      </c>
      <c r="H35" s="6">
        <f t="shared" si="3"/>
        <v>-15540061</v>
      </c>
      <c r="I35" s="6">
        <f t="shared" si="4"/>
        <v>1</v>
      </c>
      <c r="J35" s="6">
        <f t="shared" si="5"/>
        <v>-1</v>
      </c>
      <c r="K35" s="6">
        <f t="shared" si="6"/>
        <v>9</v>
      </c>
      <c r="L35" s="6">
        <f t="shared" si="6"/>
        <v>-9</v>
      </c>
    </row>
    <row r="36" spans="1:12" ht="15.75" thickBot="1" x14ac:dyDescent="0.3">
      <c r="C36" s="35">
        <f t="shared" ref="C36:E36" si="7">SUM(C27:C35)</f>
        <v>0</v>
      </c>
      <c r="D36" s="35">
        <f t="shared" si="7"/>
        <v>0</v>
      </c>
      <c r="E36" s="16">
        <f t="shared" si="7"/>
        <v>-226243376</v>
      </c>
      <c r="F36" s="22">
        <f>SUM(F27:F35)</f>
        <v>-10</v>
      </c>
      <c r="G36" s="34">
        <f>SUM(G27:G35)</f>
        <v>10</v>
      </c>
      <c r="H36" s="6">
        <f t="shared" si="3"/>
        <v>-226243376</v>
      </c>
      <c r="I36" s="6">
        <f t="shared" si="4"/>
        <v>-10</v>
      </c>
      <c r="J36" s="6">
        <f t="shared" si="5"/>
        <v>10</v>
      </c>
      <c r="K36" s="6">
        <f>SUM(K27:K35)</f>
        <v>-90</v>
      </c>
      <c r="L36" s="6">
        <f>SUM(L27:L35)</f>
        <v>90</v>
      </c>
    </row>
    <row r="37" spans="1:12" ht="15.75" thickTop="1" x14ac:dyDescent="0.25"/>
    <row r="39" spans="1:12" x14ac:dyDescent="0.25">
      <c r="H39" s="6"/>
    </row>
  </sheetData>
  <mergeCells count="3">
    <mergeCell ref="A1:I1"/>
    <mergeCell ref="H16:H17"/>
    <mergeCell ref="H18:H19"/>
  </mergeCells>
  <pageMargins left="0.25" right="0.25" top="0.75" bottom="0.75" header="0.3" footer="0.3"/>
  <pageSetup scale="77" orientation="landscape" r:id="rId1"/>
  <headerFooter>
    <oddFooter>&amp;LDepartment of Management&amp;R&amp;D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E294-8C0A-4ACB-96B9-8B1FA9D02961}">
  <sheetPr>
    <tabColor rgb="FFFFC000"/>
    <pageSetUpPr fitToPage="1"/>
  </sheetPr>
  <dimension ref="A1:M36"/>
  <sheetViews>
    <sheetView zoomScale="90" zoomScaleNormal="90" workbookViewId="0">
      <selection sqref="A1:I1"/>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16.140625" hidden="1" customWidth="1"/>
    <col min="12" max="12" width="19.5703125" hidden="1" customWidth="1"/>
    <col min="13" max="13" width="13.5703125" hidden="1" customWidth="1"/>
  </cols>
  <sheetData>
    <row r="1" spans="1:13" ht="45" customHeight="1" x14ac:dyDescent="0.25">
      <c r="A1" s="66" t="str">
        <f>_xlfn.CONCAT("FY ",K1," AEA Enrollments and Cost - Final - State Aid and Property Tax Breakdown")</f>
        <v>FY 2026 AEA Enrollments and Cost - Final - State Aid and Property Tax Breakdown</v>
      </c>
      <c r="B1" s="66"/>
      <c r="C1" s="66"/>
      <c r="D1" s="66"/>
      <c r="E1" s="66"/>
      <c r="F1" s="66"/>
      <c r="G1" s="66"/>
      <c r="H1" s="66"/>
      <c r="I1" s="66"/>
      <c r="K1" s="10">
        <f>Notes!B1</f>
        <v>2026</v>
      </c>
    </row>
    <row r="2" spans="1:13" s="10" customFormat="1" ht="45" x14ac:dyDescent="0.25">
      <c r="A2" s="7" t="s">
        <v>46</v>
      </c>
      <c r="B2" s="7" t="s">
        <v>47</v>
      </c>
      <c r="C2" s="21" t="s">
        <v>69</v>
      </c>
      <c r="D2" s="9" t="s">
        <v>70</v>
      </c>
      <c r="E2" s="8" t="s">
        <v>71</v>
      </c>
      <c r="F2" s="21" t="s">
        <v>72</v>
      </c>
      <c r="G2" s="9" t="s">
        <v>766</v>
      </c>
      <c r="H2" s="9" t="s">
        <v>767</v>
      </c>
      <c r="I2" s="8" t="s">
        <v>768</v>
      </c>
      <c r="K2" s="10" t="s">
        <v>773</v>
      </c>
      <c r="L2" s="10" t="s">
        <v>774</v>
      </c>
      <c r="M2" s="10" t="s">
        <v>775</v>
      </c>
    </row>
    <row r="3" spans="1:13" x14ac:dyDescent="0.25">
      <c r="A3" s="18" t="str">
        <f>Data!A2</f>
        <v>01</v>
      </c>
      <c r="B3" s="11" t="str">
        <f>INDEX(Data_Detail_OLD[],MATCH(PaymentCodingTotal!$A3,Data_Detail_OLD[AEA],0),3)</f>
        <v>Keystone AEA 1</v>
      </c>
      <c r="C3" s="22">
        <f>SUMIFS(INDEX(PaymentBreakdown[],0,MATCH(C$2,PaymentBreakdown[#Headers],0)),PaymentBreakdown[AEA],$A3,PaymentBreakdown[FiscalYear],$K$1)</f>
        <v>22789</v>
      </c>
      <c r="D3" s="19">
        <f>SUMIFS(INDEX(PaymentBreakdown[],0,MATCH(D$2,PaymentBreakdown[#Headers],0)),PaymentBreakdown[AEA],$A3,PaymentBreakdown[FiscalYear],$K$1)</f>
        <v>7211</v>
      </c>
      <c r="E3" s="12">
        <f>SUMIFS(INDEX(PaymentBreakdown[],0,MATCH(E$2,PaymentBreakdown[#Headers],0)),PaymentBreakdown[AEA],$A3,PaymentBreakdown[FiscalYear],$K$1)</f>
        <v>30000</v>
      </c>
      <c r="F3" s="22">
        <f>SUMIFS(INDEX(PaymentBreakdown[],0,MATCH(F$2,PaymentBreakdown[#Headers],0)),PaymentBreakdown[AEA],$A3,PaymentBreakdown[FiscalYear],$K$1)</f>
        <v>1151859</v>
      </c>
      <c r="G3" s="19">
        <f>SUMIFS(INDEX(PaymentBreakdown[],0,MATCH(G$2,PaymentBreakdown[#Headers],0)),PaymentBreakdown[AEA],$A3,PaymentBreakdown[FiscalYear],$K$1)</f>
        <v>262085</v>
      </c>
      <c r="H3" s="19">
        <f>SUMIFS(INDEX(PaymentBreakdown[],0,MATCH(H$2,PaymentBreakdown[#Headers],0)),PaymentBreakdown[AEA],$A3,PaymentBreakdown[FiscalYear],$K$1)</f>
        <v>291923</v>
      </c>
      <c r="I3" s="49">
        <f>SUMIFS(INDEX(PaymentBreakdown[],0,MATCH(I$2,PaymentBreakdown[#Headers],0)),PaymentBreakdown[AEA],$A3,PaymentBreakdown[FiscalYear],$K$1)</f>
        <v>1735867</v>
      </c>
      <c r="K3" s="6">
        <f>E3-D3-C3</f>
        <v>0</v>
      </c>
      <c r="L3" s="6">
        <f t="shared" ref="L3:L12" si="0">SUM(C3:D3,F3:H3)-I3</f>
        <v>0</v>
      </c>
      <c r="M3" s="6">
        <f t="shared" ref="M3:M12" si="1">SUM(E3:H3)-I3</f>
        <v>0</v>
      </c>
    </row>
    <row r="4" spans="1:13" x14ac:dyDescent="0.25">
      <c r="A4" s="18" t="str">
        <f>Data!A3</f>
        <v>05</v>
      </c>
      <c r="B4" s="11" t="str">
        <f>INDEX(Data_Detail_OLD[],MATCH(PaymentCodingTotal!$A4,Data_Detail_OLD[AEA],0),3)</f>
        <v>Prairie Lakes AEA 8</v>
      </c>
      <c r="C4" s="22">
        <f>SUMIFS(INDEX(PaymentBreakdown[],0,MATCH(C$2,PaymentBreakdown[#Headers],0)),PaymentBreakdown[AEA],$A4,PaymentBreakdown[FiscalYear],$K$1)</f>
        <v>0</v>
      </c>
      <c r="D4" s="19">
        <f>SUMIFS(INDEX(PaymentBreakdown[],0,MATCH(D$2,PaymentBreakdown[#Headers],0)),PaymentBreakdown[AEA],$A4,PaymentBreakdown[FiscalYear],$K$1)</f>
        <v>0</v>
      </c>
      <c r="E4" s="12">
        <f>SUMIFS(INDEX(PaymentBreakdown[],0,MATCH(E$2,PaymentBreakdown[#Headers],0)),PaymentBreakdown[AEA],$A4,PaymentBreakdown[FiscalYear],$K$1)</f>
        <v>0</v>
      </c>
      <c r="F4" s="22">
        <f>SUMIFS(INDEX(PaymentBreakdown[],0,MATCH(F$2,PaymentBreakdown[#Headers],0)),PaymentBreakdown[AEA],$A4,PaymentBreakdown[FiscalYear],$K$1)</f>
        <v>1276124</v>
      </c>
      <c r="G4" s="19">
        <f>SUMIFS(INDEX(PaymentBreakdown[],0,MATCH(G$2,PaymentBreakdown[#Headers],0)),PaymentBreakdown[AEA],$A4,PaymentBreakdown[FiscalYear],$K$1)</f>
        <v>150479</v>
      </c>
      <c r="H4" s="19">
        <f>SUMIFS(INDEX(PaymentBreakdown[],0,MATCH(H$2,PaymentBreakdown[#Headers],0)),PaymentBreakdown[AEA],$A4,PaymentBreakdown[FiscalYear],$K$1)</f>
        <v>168486</v>
      </c>
      <c r="I4" s="49">
        <f>SUMIFS(INDEX(PaymentBreakdown[],0,MATCH(I$2,PaymentBreakdown[#Headers],0)),PaymentBreakdown[AEA],$A4,PaymentBreakdown[FiscalYear],$K$1)</f>
        <v>1595089</v>
      </c>
      <c r="K4" s="6">
        <f t="shared" ref="K4:K12" si="2">E4-D4-C4</f>
        <v>0</v>
      </c>
      <c r="L4" s="6">
        <f t="shared" si="0"/>
        <v>0</v>
      </c>
      <c r="M4" s="6">
        <f t="shared" si="1"/>
        <v>0</v>
      </c>
    </row>
    <row r="5" spans="1:13" x14ac:dyDescent="0.25">
      <c r="A5" s="18" t="str">
        <f>Data!A4</f>
        <v>07</v>
      </c>
      <c r="B5" s="11" t="str">
        <f>INDEX(Data_Detail_OLD[],MATCH(PaymentCodingTotal!$A5,Data_Detail_OLD[AEA],0),3)</f>
        <v>Central Rivers</v>
      </c>
      <c r="C5" s="22">
        <f>SUMIFS(INDEX(PaymentBreakdown[],0,MATCH(C$2,PaymentBreakdown[#Headers],0)),PaymentBreakdown[AEA],$A5,PaymentBreakdown[FiscalYear],$K$1)</f>
        <v>23488</v>
      </c>
      <c r="D5" s="19">
        <f>SUMIFS(INDEX(PaymentBreakdown[],0,MATCH(D$2,PaymentBreakdown[#Headers],0)),PaymentBreakdown[AEA],$A5,PaymentBreakdown[FiscalYear],$K$1)</f>
        <v>6512</v>
      </c>
      <c r="E5" s="12">
        <f>SUMIFS(INDEX(PaymentBreakdown[],0,MATCH(E$2,PaymentBreakdown[#Headers],0)),PaymentBreakdown[AEA],$A5,PaymentBreakdown[FiscalYear],$K$1)</f>
        <v>30000</v>
      </c>
      <c r="F5" s="22">
        <f>SUMIFS(INDEX(PaymentBreakdown[],0,MATCH(F$2,PaymentBreakdown[#Headers],0)),PaymentBreakdown[AEA],$A5,PaymentBreakdown[FiscalYear],$K$1)</f>
        <v>3032137</v>
      </c>
      <c r="G5" s="19">
        <f>SUMIFS(INDEX(PaymentBreakdown[],0,MATCH(G$2,PaymentBreakdown[#Headers],0)),PaymentBreakdown[AEA],$A5,PaymentBreakdown[FiscalYear],$K$1)</f>
        <v>253193</v>
      </c>
      <c r="H5" s="19">
        <f>SUMIFS(INDEX(PaymentBreakdown[],0,MATCH(H$2,PaymentBreakdown[#Headers],0)),PaymentBreakdown[AEA],$A5,PaymentBreakdown[FiscalYear],$K$1)</f>
        <v>282243</v>
      </c>
      <c r="I5" s="49">
        <f>SUMIFS(INDEX(PaymentBreakdown[],0,MATCH(I$2,PaymentBreakdown[#Headers],0)),PaymentBreakdown[AEA],$A5,PaymentBreakdown[FiscalYear],$K$1)</f>
        <v>3597573</v>
      </c>
      <c r="K5" s="6">
        <f t="shared" si="2"/>
        <v>0</v>
      </c>
      <c r="L5" s="6">
        <f t="shared" si="0"/>
        <v>0</v>
      </c>
      <c r="M5" s="6">
        <f t="shared" si="1"/>
        <v>0</v>
      </c>
    </row>
    <row r="6" spans="1:13" x14ac:dyDescent="0.25">
      <c r="A6" s="18" t="str">
        <f>Data!A5</f>
        <v>09</v>
      </c>
      <c r="B6" s="11" t="str">
        <f>INDEX(Data_Detail_OLD[],MATCH(PaymentCodingTotal!$A6,Data_Detail_OLD[AEA],0),3)</f>
        <v>Mississippi Bend AEA 9</v>
      </c>
      <c r="C6" s="22">
        <f>SUMIFS(INDEX(PaymentBreakdown[],0,MATCH(C$2,PaymentBreakdown[#Headers],0)),PaymentBreakdown[AEA],$A6,PaymentBreakdown[FiscalYear],$K$1)</f>
        <v>23650</v>
      </c>
      <c r="D6" s="19">
        <f>SUMIFS(INDEX(PaymentBreakdown[],0,MATCH(D$2,PaymentBreakdown[#Headers],0)),PaymentBreakdown[AEA],$A6,PaymentBreakdown[FiscalYear],$K$1)</f>
        <v>6350</v>
      </c>
      <c r="E6" s="12">
        <f>SUMIFS(INDEX(PaymentBreakdown[],0,MATCH(E$2,PaymentBreakdown[#Headers],0)),PaymentBreakdown[AEA],$A6,PaymentBreakdown[FiscalYear],$K$1)</f>
        <v>30000</v>
      </c>
      <c r="F6" s="22">
        <f>SUMIFS(INDEX(PaymentBreakdown[],0,MATCH(F$2,PaymentBreakdown[#Headers],0)),PaymentBreakdown[AEA],$A6,PaymentBreakdown[FiscalYear],$K$1)</f>
        <v>1634071</v>
      </c>
      <c r="G6" s="19">
        <f>SUMIFS(INDEX(PaymentBreakdown[],0,MATCH(G$2,PaymentBreakdown[#Headers],0)),PaymentBreakdown[AEA],$A6,PaymentBreakdown[FiscalYear],$K$1)</f>
        <v>245851</v>
      </c>
      <c r="H6" s="19">
        <f>SUMIFS(INDEX(PaymentBreakdown[],0,MATCH(H$2,PaymentBreakdown[#Headers],0)),PaymentBreakdown[AEA],$A6,PaymentBreakdown[FiscalYear],$K$1)</f>
        <v>268841</v>
      </c>
      <c r="I6" s="49">
        <f>SUMIFS(INDEX(PaymentBreakdown[],0,MATCH(I$2,PaymentBreakdown[#Headers],0)),PaymentBreakdown[AEA],$A6,PaymentBreakdown[FiscalYear],$K$1)</f>
        <v>2178763</v>
      </c>
      <c r="K6" s="6">
        <f t="shared" si="2"/>
        <v>0</v>
      </c>
      <c r="L6" s="6">
        <f t="shared" si="0"/>
        <v>0</v>
      </c>
      <c r="M6" s="6">
        <f t="shared" si="1"/>
        <v>0</v>
      </c>
    </row>
    <row r="7" spans="1:13" x14ac:dyDescent="0.25">
      <c r="A7" s="18" t="str">
        <f>Data!A6</f>
        <v>10</v>
      </c>
      <c r="B7" s="11" t="str">
        <f>INDEX(Data_Detail_OLD[],MATCH(PaymentCodingTotal!$A7,Data_Detail_OLD[AEA],0),3)</f>
        <v>Grant Wood AEA 10</v>
      </c>
      <c r="C7" s="22">
        <f>SUMIFS(INDEX(PaymentBreakdown[],0,MATCH(C$2,PaymentBreakdown[#Headers],0)),PaymentBreakdown[AEA],$A7,PaymentBreakdown[FiscalYear],$K$1)</f>
        <v>23785</v>
      </c>
      <c r="D7" s="19">
        <f>SUMIFS(INDEX(PaymentBreakdown[],0,MATCH(D$2,PaymentBreakdown[#Headers],0)),PaymentBreakdown[AEA],$A7,PaymentBreakdown[FiscalYear],$K$1)</f>
        <v>6216</v>
      </c>
      <c r="E7" s="12">
        <f>SUMIFS(INDEX(PaymentBreakdown[],0,MATCH(E$2,PaymentBreakdown[#Headers],0)),PaymentBreakdown[AEA],$A7,PaymentBreakdown[FiscalYear],$K$1)</f>
        <v>30001</v>
      </c>
      <c r="F7" s="22">
        <f>SUMIFS(INDEX(PaymentBreakdown[],0,MATCH(F$2,PaymentBreakdown[#Headers],0)),PaymentBreakdown[AEA],$A7,PaymentBreakdown[FiscalYear],$K$1)</f>
        <v>2570057</v>
      </c>
      <c r="G7" s="19">
        <f>SUMIFS(INDEX(PaymentBreakdown[],0,MATCH(G$2,PaymentBreakdown[#Headers],0)),PaymentBreakdown[AEA],$A7,PaymentBreakdown[FiscalYear],$K$1)</f>
        <v>344008</v>
      </c>
      <c r="H7" s="19">
        <f>SUMIFS(INDEX(PaymentBreakdown[],0,MATCH(H$2,PaymentBreakdown[#Headers],0)),PaymentBreakdown[AEA],$A7,PaymentBreakdown[FiscalYear],$K$1)</f>
        <v>378309</v>
      </c>
      <c r="I7" s="49">
        <f>SUMIFS(INDEX(PaymentBreakdown[],0,MATCH(I$2,PaymentBreakdown[#Headers],0)),PaymentBreakdown[AEA],$A7,PaymentBreakdown[FiscalYear],$K$1)</f>
        <v>3322375</v>
      </c>
      <c r="K7" s="6">
        <f t="shared" si="2"/>
        <v>0</v>
      </c>
      <c r="L7" s="6">
        <f t="shared" si="0"/>
        <v>0</v>
      </c>
      <c r="M7" s="6">
        <f t="shared" si="1"/>
        <v>0</v>
      </c>
    </row>
    <row r="8" spans="1:13" x14ac:dyDescent="0.25">
      <c r="A8" s="18" t="str">
        <f>Data!A7</f>
        <v>11</v>
      </c>
      <c r="B8" s="11" t="str">
        <f>INDEX(Data_Detail_OLD[],MATCH(PaymentCodingTotal!$A8,Data_Detail_OLD[AEA],0),3)</f>
        <v>Heartland AEA 11</v>
      </c>
      <c r="C8" s="22">
        <f>SUMIFS(INDEX(PaymentBreakdown[],0,MATCH(C$2,PaymentBreakdown[#Headers],0)),PaymentBreakdown[AEA],$A8,PaymentBreakdown[FiscalYear],$K$1)</f>
        <v>0</v>
      </c>
      <c r="D8" s="19">
        <f>SUMIFS(INDEX(PaymentBreakdown[],0,MATCH(D$2,PaymentBreakdown[#Headers],0)),PaymentBreakdown[AEA],$A8,PaymentBreakdown[FiscalYear],$K$1)</f>
        <v>0</v>
      </c>
      <c r="E8" s="12">
        <f>SUMIFS(INDEX(PaymentBreakdown[],0,MATCH(E$2,PaymentBreakdown[#Headers],0)),PaymentBreakdown[AEA],$A8,PaymentBreakdown[FiscalYear],$K$1)</f>
        <v>0</v>
      </c>
      <c r="F8" s="22">
        <f>SUMIFS(INDEX(PaymentBreakdown[],0,MATCH(F$2,PaymentBreakdown[#Headers],0)),PaymentBreakdown[AEA],$A8,PaymentBreakdown[FiscalYear],$K$1)</f>
        <v>4753653</v>
      </c>
      <c r="G8" s="19">
        <f>SUMIFS(INDEX(PaymentBreakdown[],0,MATCH(G$2,PaymentBreakdown[#Headers],0)),PaymentBreakdown[AEA],$A8,PaymentBreakdown[FiscalYear],$K$1)</f>
        <v>752248</v>
      </c>
      <c r="H8" s="19">
        <f>SUMIFS(INDEX(PaymentBreakdown[],0,MATCH(H$2,PaymentBreakdown[#Headers],0)),PaymentBreakdown[AEA],$A8,PaymentBreakdown[FiscalYear],$K$1)</f>
        <v>826706</v>
      </c>
      <c r="I8" s="49">
        <f>SUMIFS(INDEX(PaymentBreakdown[],0,MATCH(I$2,PaymentBreakdown[#Headers],0)),PaymentBreakdown[AEA],$A8,PaymentBreakdown[FiscalYear],$K$1)</f>
        <v>6332607</v>
      </c>
      <c r="K8" s="6">
        <f t="shared" si="2"/>
        <v>0</v>
      </c>
      <c r="L8" s="6">
        <f t="shared" si="0"/>
        <v>0</v>
      </c>
      <c r="M8" s="6">
        <f t="shared" si="1"/>
        <v>0</v>
      </c>
    </row>
    <row r="9" spans="1:13" x14ac:dyDescent="0.25">
      <c r="A9" s="18" t="str">
        <f>Data!A8</f>
        <v>12</v>
      </c>
      <c r="B9" s="11" t="str">
        <f>INDEX(Data_Detail_OLD[],MATCH(PaymentCodingTotal!$A9,Data_Detail_OLD[AEA],0),3)</f>
        <v>Northwest AEA</v>
      </c>
      <c r="C9" s="22">
        <f>SUMIFS(INDEX(PaymentBreakdown[],0,MATCH(C$2,PaymentBreakdown[#Headers],0)),PaymentBreakdown[AEA],$A9,PaymentBreakdown[FiscalYear],$K$1)</f>
        <v>23274</v>
      </c>
      <c r="D9" s="19">
        <f>SUMIFS(INDEX(PaymentBreakdown[],0,MATCH(D$2,PaymentBreakdown[#Headers],0)),PaymentBreakdown[AEA],$A9,PaymentBreakdown[FiscalYear],$K$1)</f>
        <v>6726</v>
      </c>
      <c r="E9" s="12">
        <f>SUMIFS(INDEX(PaymentBreakdown[],0,MATCH(E$2,PaymentBreakdown[#Headers],0)),PaymentBreakdown[AEA],$A9,PaymentBreakdown[FiscalYear],$K$1)</f>
        <v>30000</v>
      </c>
      <c r="F9" s="22">
        <f>SUMIFS(INDEX(PaymentBreakdown[],0,MATCH(F$2,PaymentBreakdown[#Headers],0)),PaymentBreakdown[AEA],$A9,PaymentBreakdown[FiscalYear],$K$1)</f>
        <v>1619590</v>
      </c>
      <c r="G9" s="19">
        <f>SUMIFS(INDEX(PaymentBreakdown[],0,MATCH(G$2,PaymentBreakdown[#Headers],0)),PaymentBreakdown[AEA],$A9,PaymentBreakdown[FiscalYear],$K$1)</f>
        <v>377069</v>
      </c>
      <c r="H9" s="19">
        <f>SUMIFS(INDEX(PaymentBreakdown[],0,MATCH(H$2,PaymentBreakdown[#Headers],0)),PaymentBreakdown[AEA],$A9,PaymentBreakdown[FiscalYear],$K$1)</f>
        <v>422065</v>
      </c>
      <c r="I9" s="49">
        <f>SUMIFS(INDEX(PaymentBreakdown[],0,MATCH(I$2,PaymentBreakdown[#Headers],0)),PaymentBreakdown[AEA],$A9,PaymentBreakdown[FiscalYear],$K$1)</f>
        <v>2448724</v>
      </c>
      <c r="K9" s="6">
        <f t="shared" si="2"/>
        <v>0</v>
      </c>
      <c r="L9" s="6">
        <f t="shared" si="0"/>
        <v>0</v>
      </c>
      <c r="M9" s="6">
        <f t="shared" si="1"/>
        <v>0</v>
      </c>
    </row>
    <row r="10" spans="1:13" x14ac:dyDescent="0.25">
      <c r="A10" s="18" t="str">
        <f>Data!A9</f>
        <v>13</v>
      </c>
      <c r="B10" s="11" t="str">
        <f>INDEX(Data_Detail_OLD[],MATCH(PaymentCodingTotal!$A10,Data_Detail_OLD[AEA],0),3)</f>
        <v>Green Hills AEA 13</v>
      </c>
      <c r="C10" s="22">
        <f>SUMIFS(INDEX(PaymentBreakdown[],0,MATCH(C$2,PaymentBreakdown[#Headers],0)),PaymentBreakdown[AEA],$A10,PaymentBreakdown[FiscalYear],$K$1)</f>
        <v>23715</v>
      </c>
      <c r="D10" s="19">
        <f>SUMIFS(INDEX(PaymentBreakdown[],0,MATCH(D$2,PaymentBreakdown[#Headers],0)),PaymentBreakdown[AEA],$A10,PaymentBreakdown[FiscalYear],$K$1)</f>
        <v>6285</v>
      </c>
      <c r="E10" s="12">
        <f>SUMIFS(INDEX(PaymentBreakdown[],0,MATCH(E$2,PaymentBreakdown[#Headers],0)),PaymentBreakdown[AEA],$A10,PaymentBreakdown[FiscalYear],$K$1)</f>
        <v>30000</v>
      </c>
      <c r="F10" s="22">
        <f>SUMIFS(INDEX(PaymentBreakdown[],0,MATCH(F$2,PaymentBreakdown[#Headers],0)),PaymentBreakdown[AEA],$A10,PaymentBreakdown[FiscalYear],$K$1)</f>
        <v>1519471</v>
      </c>
      <c r="G10" s="19">
        <f>SUMIFS(INDEX(PaymentBreakdown[],0,MATCH(G$2,PaymentBreakdown[#Headers],0)),PaymentBreakdown[AEA],$A10,PaymentBreakdown[FiscalYear],$K$1)</f>
        <v>79679</v>
      </c>
      <c r="H10" s="19">
        <f>SUMIFS(INDEX(PaymentBreakdown[],0,MATCH(H$2,PaymentBreakdown[#Headers],0)),PaymentBreakdown[AEA],$A10,PaymentBreakdown[FiscalYear],$K$1)</f>
        <v>88100</v>
      </c>
      <c r="I10" s="49">
        <f>SUMIFS(INDEX(PaymentBreakdown[],0,MATCH(I$2,PaymentBreakdown[#Headers],0)),PaymentBreakdown[AEA],$A10,PaymentBreakdown[FiscalYear],$K$1)</f>
        <v>1717250</v>
      </c>
      <c r="K10" s="6">
        <f t="shared" si="2"/>
        <v>0</v>
      </c>
      <c r="L10" s="6">
        <f t="shared" si="0"/>
        <v>0</v>
      </c>
      <c r="M10" s="6">
        <f t="shared" si="1"/>
        <v>0</v>
      </c>
    </row>
    <row r="11" spans="1:13" x14ac:dyDescent="0.25">
      <c r="A11" s="18" t="str">
        <f>Data!A10</f>
        <v>15</v>
      </c>
      <c r="B11" s="11" t="str">
        <f>INDEX(Data_Detail_OLD[],MATCH(PaymentCodingTotal!$A11,Data_Detail_OLD[AEA],0),3)</f>
        <v>Great Prairie AEA 15</v>
      </c>
      <c r="C11" s="22">
        <f>SUMIFS(INDEX(PaymentBreakdown[],0,MATCH(C$2,PaymentBreakdown[#Headers],0)),PaymentBreakdown[AEA],$A11,PaymentBreakdown[FiscalYear],$K$1)</f>
        <v>23898</v>
      </c>
      <c r="D11" s="19">
        <f>SUMIFS(INDEX(PaymentBreakdown[],0,MATCH(D$2,PaymentBreakdown[#Headers],0)),PaymentBreakdown[AEA],$A11,PaymentBreakdown[FiscalYear],$K$1)</f>
        <v>6104</v>
      </c>
      <c r="E11" s="12">
        <f>SUMIFS(INDEX(PaymentBreakdown[],0,MATCH(E$2,PaymentBreakdown[#Headers],0)),PaymentBreakdown[AEA],$A11,PaymentBreakdown[FiscalYear],$K$1)</f>
        <v>30002</v>
      </c>
      <c r="F11" s="22">
        <f>SUMIFS(INDEX(PaymentBreakdown[],0,MATCH(F$2,PaymentBreakdown[#Headers],0)),PaymentBreakdown[AEA],$A11,PaymentBreakdown[FiscalYear],$K$1)</f>
        <v>1327569</v>
      </c>
      <c r="G11" s="19">
        <f>SUMIFS(INDEX(PaymentBreakdown[],0,MATCH(G$2,PaymentBreakdown[#Headers],0)),PaymentBreakdown[AEA],$A11,PaymentBreakdown[FiscalYear],$K$1)</f>
        <v>95494</v>
      </c>
      <c r="H11" s="19">
        <f>SUMIFS(INDEX(PaymentBreakdown[],0,MATCH(H$2,PaymentBreakdown[#Headers],0)),PaymentBreakdown[AEA],$A11,PaymentBreakdown[FiscalYear],$K$1)</f>
        <v>105003</v>
      </c>
      <c r="I11" s="49">
        <f>SUMIFS(INDEX(PaymentBreakdown[],0,MATCH(I$2,PaymentBreakdown[#Headers],0)),PaymentBreakdown[AEA],$A11,PaymentBreakdown[FiscalYear],$K$1)</f>
        <v>1558068</v>
      </c>
      <c r="K11" s="6">
        <f t="shared" si="2"/>
        <v>0</v>
      </c>
      <c r="L11" s="6">
        <f t="shared" si="0"/>
        <v>0</v>
      </c>
      <c r="M11" s="6">
        <f t="shared" si="1"/>
        <v>0</v>
      </c>
    </row>
    <row r="12" spans="1:13" ht="15.75" thickBot="1" x14ac:dyDescent="0.3">
      <c r="C12" s="37">
        <f>SUM(C3:C11)</f>
        <v>164599</v>
      </c>
      <c r="D12" s="20">
        <f t="shared" ref="D12:I12" si="3">SUM(D3:D11)</f>
        <v>45404</v>
      </c>
      <c r="E12" s="16">
        <f t="shared" si="3"/>
        <v>210003</v>
      </c>
      <c r="F12" s="37">
        <f>SUM(F3:F11)</f>
        <v>18884531</v>
      </c>
      <c r="G12" s="20">
        <f t="shared" si="3"/>
        <v>2560106</v>
      </c>
      <c r="H12" s="20">
        <f>SUM(H3:H11)</f>
        <v>2831676</v>
      </c>
      <c r="I12" s="16">
        <f t="shared" si="3"/>
        <v>24486316</v>
      </c>
      <c r="K12" s="6">
        <f t="shared" si="2"/>
        <v>0</v>
      </c>
      <c r="L12" s="6">
        <f t="shared" si="0"/>
        <v>0</v>
      </c>
      <c r="M12" s="6">
        <f t="shared" si="1"/>
        <v>0</v>
      </c>
    </row>
    <row r="13" spans="1:13" ht="7.5" customHeight="1" thickTop="1" x14ac:dyDescent="0.25"/>
    <row r="14" spans="1:13" ht="45" x14ac:dyDescent="0.25">
      <c r="A14" s="17" t="str">
        <f t="shared" ref="A14:B23" si="4">A2</f>
        <v>AEA</v>
      </c>
      <c r="B14" s="17" t="str">
        <f t="shared" si="4"/>
        <v>AEA Name</v>
      </c>
      <c r="C14" s="21" t="s">
        <v>769</v>
      </c>
      <c r="D14" s="9" t="s">
        <v>770</v>
      </c>
      <c r="G14" s="32"/>
    </row>
    <row r="15" spans="1:13" x14ac:dyDescent="0.25">
      <c r="A15" s="11" t="str">
        <f t="shared" si="4"/>
        <v>01</v>
      </c>
      <c r="B15" s="11" t="str">
        <f t="shared" si="4"/>
        <v>Keystone AEA 1</v>
      </c>
      <c r="C15" s="22">
        <f>SUMIFS(INDEX(PaymentBreakdown[],0,MATCH(C$14,PaymentBreakdown[#Headers],0)),PaymentBreakdown[AEA],$A15,PaymentBreakdown[FiscalYear],$K$1)</f>
        <v>1174648</v>
      </c>
      <c r="D15" s="19">
        <f>SUMIFS(INDEX(PaymentBreakdown[],0,MATCH(D$14,PaymentBreakdown[#Headers],0)),PaymentBreakdown[AEA],$A15,PaymentBreakdown[FiscalYear],$K$1)</f>
        <v>561219</v>
      </c>
      <c r="G15" s="60"/>
    </row>
    <row r="16" spans="1:13" x14ac:dyDescent="0.25">
      <c r="A16" s="11" t="str">
        <f t="shared" si="4"/>
        <v>05</v>
      </c>
      <c r="B16" s="11" t="str">
        <f t="shared" si="4"/>
        <v>Prairie Lakes AEA 8</v>
      </c>
      <c r="C16" s="22">
        <f>SUMIFS(INDEX(PaymentBreakdown[],0,MATCH(C$14,PaymentBreakdown[#Headers],0)),PaymentBreakdown[AEA],$A16,PaymentBreakdown[FiscalYear],$K$1)</f>
        <v>1276124</v>
      </c>
      <c r="D16" s="19">
        <f>SUMIFS(INDEX(PaymentBreakdown[],0,MATCH(D$14,PaymentBreakdown[#Headers],0)),PaymentBreakdown[AEA],$A16,PaymentBreakdown[FiscalYear],$K$1)</f>
        <v>318965</v>
      </c>
      <c r="F16" s="67" t="s">
        <v>77</v>
      </c>
      <c r="G16" s="60"/>
    </row>
    <row r="17" spans="1:13" x14ac:dyDescent="0.25">
      <c r="A17" s="11" t="str">
        <f t="shared" si="4"/>
        <v>07</v>
      </c>
      <c r="B17" s="11" t="str">
        <f t="shared" si="4"/>
        <v>Central Rivers</v>
      </c>
      <c r="C17" s="22">
        <f>SUMIFS(INDEX(PaymentBreakdown[],0,MATCH(C$14,PaymentBreakdown[#Headers],0)),PaymentBreakdown[AEA],$A17,PaymentBreakdown[FiscalYear],$K$1)</f>
        <v>3055625</v>
      </c>
      <c r="D17" s="19">
        <f>SUMIFS(INDEX(PaymentBreakdown[],0,MATCH(D$14,PaymentBreakdown[#Headers],0)),PaymentBreakdown[AEA],$A17,PaymentBreakdown[FiscalYear],$K$1)</f>
        <v>541948</v>
      </c>
      <c r="F17" s="67"/>
      <c r="G17" s="60"/>
    </row>
    <row r="18" spans="1:13" x14ac:dyDescent="0.25">
      <c r="A18" s="11" t="str">
        <f t="shared" si="4"/>
        <v>09</v>
      </c>
      <c r="B18" s="11" t="str">
        <f t="shared" si="4"/>
        <v>Mississippi Bend AEA 9</v>
      </c>
      <c r="C18" s="22">
        <f>SUMIFS(INDEX(PaymentBreakdown[],0,MATCH(C$14,PaymentBreakdown[#Headers],0)),PaymentBreakdown[AEA],$A18,PaymentBreakdown[FiscalYear],$K$1)</f>
        <v>1657721</v>
      </c>
      <c r="D18" s="19">
        <f>SUMIFS(INDEX(PaymentBreakdown[],0,MATCH(D$14,PaymentBreakdown[#Headers],0)),PaymentBreakdown[AEA],$A18,PaymentBreakdown[FiscalYear],$K$1)</f>
        <v>521042</v>
      </c>
      <c r="F18" s="68" t="s">
        <v>729</v>
      </c>
      <c r="G18" s="60"/>
    </row>
    <row r="19" spans="1:13" x14ac:dyDescent="0.25">
      <c r="A19" s="11" t="str">
        <f t="shared" si="4"/>
        <v>10</v>
      </c>
      <c r="B19" s="11" t="str">
        <f t="shared" si="4"/>
        <v>Grant Wood AEA 10</v>
      </c>
      <c r="C19" s="22">
        <f>SUMIFS(INDEX(PaymentBreakdown[],0,MATCH(C$14,PaymentBreakdown[#Headers],0)),PaymentBreakdown[AEA],$A19,PaymentBreakdown[FiscalYear],$K$1)</f>
        <v>2593842</v>
      </c>
      <c r="D19" s="19">
        <f>SUMIFS(INDEX(PaymentBreakdown[],0,MATCH(D$14,PaymentBreakdown[#Headers],0)),PaymentBreakdown[AEA],$A19,PaymentBreakdown[FiscalYear],$K$1)</f>
        <v>728533</v>
      </c>
      <c r="F19" s="68"/>
      <c r="G19" s="60"/>
    </row>
    <row r="20" spans="1:13" x14ac:dyDescent="0.25">
      <c r="A20" s="11" t="str">
        <f t="shared" si="4"/>
        <v>11</v>
      </c>
      <c r="B20" s="11" t="str">
        <f t="shared" si="4"/>
        <v>Heartland AEA 11</v>
      </c>
      <c r="C20" s="22">
        <f>SUMIFS(INDEX(PaymentBreakdown[],0,MATCH(C$14,PaymentBreakdown[#Headers],0)),PaymentBreakdown[AEA],$A20,PaymentBreakdown[FiscalYear],$K$1)</f>
        <v>4753653</v>
      </c>
      <c r="D20" s="19">
        <f>SUMIFS(INDEX(PaymentBreakdown[],0,MATCH(D$14,PaymentBreakdown[#Headers],0)),PaymentBreakdown[AEA],$A20,PaymentBreakdown[FiscalYear],$K$1)</f>
        <v>1578954</v>
      </c>
      <c r="G20" s="60"/>
    </row>
    <row r="21" spans="1:13" x14ac:dyDescent="0.25">
      <c r="A21" s="11" t="str">
        <f t="shared" si="4"/>
        <v>12</v>
      </c>
      <c r="B21" s="11" t="str">
        <f t="shared" si="4"/>
        <v>Northwest AEA</v>
      </c>
      <c r="C21" s="22">
        <f>SUMIFS(INDEX(PaymentBreakdown[],0,MATCH(C$14,PaymentBreakdown[#Headers],0)),PaymentBreakdown[AEA],$A21,PaymentBreakdown[FiscalYear],$K$1)</f>
        <v>1642864</v>
      </c>
      <c r="D21" s="19">
        <f>SUMIFS(INDEX(PaymentBreakdown[],0,MATCH(D$14,PaymentBreakdown[#Headers],0)),PaymentBreakdown[AEA],$A21,PaymentBreakdown[FiscalYear],$K$1)</f>
        <v>805860</v>
      </c>
      <c r="G21" s="60"/>
    </row>
    <row r="22" spans="1:13" x14ac:dyDescent="0.25">
      <c r="A22" s="11" t="str">
        <f t="shared" si="4"/>
        <v>13</v>
      </c>
      <c r="B22" s="11" t="str">
        <f t="shared" si="4"/>
        <v>Green Hills AEA 13</v>
      </c>
      <c r="C22" s="22">
        <f>SUMIFS(INDEX(PaymentBreakdown[],0,MATCH(C$14,PaymentBreakdown[#Headers],0)),PaymentBreakdown[AEA],$A22,PaymentBreakdown[FiscalYear],$K$1)</f>
        <v>1543186</v>
      </c>
      <c r="D22" s="19">
        <f>SUMIFS(INDEX(PaymentBreakdown[],0,MATCH(D$14,PaymentBreakdown[#Headers],0)),PaymentBreakdown[AEA],$A22,PaymentBreakdown[FiscalYear],$K$1)</f>
        <v>174064</v>
      </c>
      <c r="G22" s="60"/>
    </row>
    <row r="23" spans="1:13" x14ac:dyDescent="0.25">
      <c r="A23" s="11" t="str">
        <f t="shared" si="4"/>
        <v>15</v>
      </c>
      <c r="B23" s="11" t="str">
        <f t="shared" si="4"/>
        <v>Great Prairie AEA 15</v>
      </c>
      <c r="C23" s="22">
        <f>SUMIFS(INDEX(PaymentBreakdown[],0,MATCH(C$14,PaymentBreakdown[#Headers],0)),PaymentBreakdown[AEA],$A23,PaymentBreakdown[FiscalYear],$K$1)</f>
        <v>1351467</v>
      </c>
      <c r="D23" s="19">
        <f>SUMIFS(INDEX(PaymentBreakdown[],0,MATCH(D$14,PaymentBreakdown[#Headers],0)),PaymentBreakdown[AEA],$A23,PaymentBreakdown[FiscalYear],$K$1)</f>
        <v>206601</v>
      </c>
      <c r="G23" s="60"/>
    </row>
    <row r="24" spans="1:13" ht="15.75" thickBot="1" x14ac:dyDescent="0.3">
      <c r="C24" s="37">
        <f>SUM(C15:C23)</f>
        <v>19049130</v>
      </c>
      <c r="D24" s="20">
        <f>SUM(D15:D23)</f>
        <v>5437186</v>
      </c>
      <c r="G24" s="61"/>
      <c r="K24" s="69" t="s">
        <v>771</v>
      </c>
      <c r="L24" s="71" t="s">
        <v>78</v>
      </c>
    </row>
    <row r="25" spans="1:13" ht="27.75" customHeight="1" thickTop="1" x14ac:dyDescent="0.25">
      <c r="K25" s="69"/>
      <c r="L25" s="71"/>
    </row>
    <row r="26" spans="1:13" ht="30" customHeight="1" x14ac:dyDescent="0.25">
      <c r="K26" s="70"/>
      <c r="L26" s="72"/>
      <c r="M26" t="s">
        <v>776</v>
      </c>
    </row>
    <row r="27" spans="1:13" x14ac:dyDescent="0.25">
      <c r="H27" s="6"/>
      <c r="J27" s="6"/>
      <c r="K27" s="6">
        <f>C3+F3-C15</f>
        <v>0</v>
      </c>
      <c r="L27" s="6">
        <f>D3+G3+H3-D15</f>
        <v>0</v>
      </c>
      <c r="M27" s="6">
        <f>I3-D15-C15</f>
        <v>0</v>
      </c>
    </row>
    <row r="28" spans="1:13" x14ac:dyDescent="0.25">
      <c r="J28" s="6"/>
      <c r="K28" s="6">
        <f t="shared" ref="K28:K35" si="5">C4+F4-C16</f>
        <v>0</v>
      </c>
      <c r="L28" s="6">
        <f t="shared" ref="L28:L35" si="6">D4+G4+H4-D16</f>
        <v>0</v>
      </c>
      <c r="M28" s="6">
        <f t="shared" ref="M28:M35" si="7">I4-D16-C16</f>
        <v>0</v>
      </c>
    </row>
    <row r="29" spans="1:13" x14ac:dyDescent="0.25">
      <c r="J29" s="6"/>
      <c r="K29" s="6">
        <f t="shared" si="5"/>
        <v>0</v>
      </c>
      <c r="L29" s="6">
        <f t="shared" si="6"/>
        <v>0</v>
      </c>
      <c r="M29" s="6">
        <f t="shared" si="7"/>
        <v>0</v>
      </c>
    </row>
    <row r="30" spans="1:13" x14ac:dyDescent="0.25">
      <c r="J30" s="6"/>
      <c r="K30" s="6">
        <f t="shared" si="5"/>
        <v>0</v>
      </c>
      <c r="L30" s="6">
        <f t="shared" si="6"/>
        <v>0</v>
      </c>
      <c r="M30" s="6">
        <f t="shared" si="7"/>
        <v>0</v>
      </c>
    </row>
    <row r="31" spans="1:13" x14ac:dyDescent="0.25">
      <c r="J31" s="6"/>
      <c r="K31" s="6">
        <f t="shared" si="5"/>
        <v>0</v>
      </c>
      <c r="L31" s="6">
        <f t="shared" si="6"/>
        <v>0</v>
      </c>
      <c r="M31" s="6">
        <f t="shared" si="7"/>
        <v>0</v>
      </c>
    </row>
    <row r="32" spans="1:13" x14ac:dyDescent="0.25">
      <c r="J32" s="6"/>
      <c r="K32" s="6">
        <f t="shared" si="5"/>
        <v>0</v>
      </c>
      <c r="L32" s="6">
        <f t="shared" si="6"/>
        <v>0</v>
      </c>
      <c r="M32" s="6">
        <f t="shared" si="7"/>
        <v>0</v>
      </c>
    </row>
    <row r="33" spans="10:13" x14ac:dyDescent="0.25">
      <c r="J33" s="6"/>
      <c r="K33" s="6">
        <f t="shared" si="5"/>
        <v>0</v>
      </c>
      <c r="L33" s="6">
        <f t="shared" si="6"/>
        <v>0</v>
      </c>
      <c r="M33" s="6">
        <f t="shared" si="7"/>
        <v>0</v>
      </c>
    </row>
    <row r="34" spans="10:13" x14ac:dyDescent="0.25">
      <c r="J34" s="6"/>
      <c r="K34" s="6">
        <f t="shared" si="5"/>
        <v>0</v>
      </c>
      <c r="L34" s="6">
        <f t="shared" si="6"/>
        <v>0</v>
      </c>
      <c r="M34" s="6">
        <f t="shared" si="7"/>
        <v>0</v>
      </c>
    </row>
    <row r="35" spans="10:13" x14ac:dyDescent="0.25">
      <c r="J35" s="6"/>
      <c r="K35" s="6">
        <f t="shared" si="5"/>
        <v>0</v>
      </c>
      <c r="L35" s="6">
        <f t="shared" si="6"/>
        <v>0</v>
      </c>
      <c r="M35" s="6">
        <f t="shared" si="7"/>
        <v>0</v>
      </c>
    </row>
    <row r="36" spans="10:13" x14ac:dyDescent="0.25">
      <c r="K36" s="6"/>
      <c r="L36" s="6"/>
    </row>
  </sheetData>
  <sheetProtection sheet="1" objects="1" scenarios="1"/>
  <mergeCells count="5">
    <mergeCell ref="A1:I1"/>
    <mergeCell ref="K24:K26"/>
    <mergeCell ref="L24:L26"/>
    <mergeCell ref="F16:F17"/>
    <mergeCell ref="F18:F19"/>
  </mergeCells>
  <pageMargins left="0.25" right="0.25" top="0.75" bottom="0.75" header="0.3" footer="0.3"/>
  <pageSetup scale="77" orientation="landscape" r:id="rId1"/>
  <headerFooter>
    <oddFooter>&amp;LDepartment of Management&amp;R&amp;D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D13B5-1B73-42F1-9064-3E7242742F66}">
  <sheetPr>
    <tabColor theme="6" tint="-0.249977111117893"/>
    <pageSetUpPr fitToPage="1"/>
  </sheetPr>
  <dimension ref="A1:M35"/>
  <sheetViews>
    <sheetView zoomScale="90" zoomScaleNormal="90" workbookViewId="0">
      <selection sqref="A1:I1"/>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6.85546875" hidden="1" customWidth="1"/>
    <col min="11" max="11" width="21.7109375" hidden="1" customWidth="1"/>
    <col min="12" max="12" width="19.5703125" hidden="1" customWidth="1"/>
    <col min="13" max="13" width="13.5703125" hidden="1" customWidth="1"/>
    <col min="14" max="14" width="9.140625" customWidth="1"/>
  </cols>
  <sheetData>
    <row r="1" spans="1:13" ht="45" customHeight="1" x14ac:dyDescent="0.25">
      <c r="A1" s="66" t="str">
        <f>_xlfn.CONCAT("FY ",K1," AEA Enrollments and Cost - Final - State Aid and Property Tax Breakdown - September thru May Payment")</f>
        <v>FY 2026 AEA Enrollments and Cost - Final - State Aid and Property Tax Breakdown - September thru May Payment</v>
      </c>
      <c r="B1" s="66"/>
      <c r="C1" s="66"/>
      <c r="D1" s="66"/>
      <c r="E1" s="66"/>
      <c r="F1" s="66"/>
      <c r="G1" s="66"/>
      <c r="H1" s="66"/>
      <c r="I1" s="66"/>
      <c r="K1" s="10">
        <f>Notes!B1</f>
        <v>2026</v>
      </c>
    </row>
    <row r="2" spans="1:13" s="10" customFormat="1" ht="45" x14ac:dyDescent="0.25">
      <c r="A2" s="7" t="s">
        <v>46</v>
      </c>
      <c r="B2" s="7" t="s">
        <v>47</v>
      </c>
      <c r="C2" s="21" t="s">
        <v>69</v>
      </c>
      <c r="D2" s="9" t="s">
        <v>70</v>
      </c>
      <c r="E2" s="8" t="s">
        <v>71</v>
      </c>
      <c r="F2" s="21" t="s">
        <v>72</v>
      </c>
      <c r="G2" s="9" t="s">
        <v>766</v>
      </c>
      <c r="H2" s="9" t="s">
        <v>767</v>
      </c>
      <c r="I2" s="8" t="s">
        <v>768</v>
      </c>
      <c r="K2" s="10" t="s">
        <v>773</v>
      </c>
      <c r="L2" s="10" t="s">
        <v>774</v>
      </c>
      <c r="M2" s="10" t="s">
        <v>775</v>
      </c>
    </row>
    <row r="3" spans="1:13" x14ac:dyDescent="0.25">
      <c r="A3" s="18" t="str">
        <f>Data!A2</f>
        <v>01</v>
      </c>
      <c r="B3" s="11" t="str">
        <f>INDEX(Data_Detail_OLD[],MATCH('PaymentCodingDetai_Sept-May'!$A3,Data_Detail_OLD[AEA],0),3)</f>
        <v>Keystone AEA 1</v>
      </c>
      <c r="C3" s="22">
        <f>ROUND(SUMIFS(INDEX(PaymentBreakdown[],0,MATCH(C$2,PaymentBreakdown[#Headers],0)),PaymentBreakdown[AEA],$A3,PaymentBreakdown[FiscalYear],$K$1)/SUMIFS(INDEX(PaymentBreakdown[],0,MATCH($I$2,PaymentBreakdown[#Headers],0)),PaymentBreakdown[AEA],$A3,PaymentBreakdown[FiscalYear],$K$1)*
INDEX(Data[],MATCH($A3,Data[AEA],0),MATCH("Pay1 - Sept - May",Data[#Headers],0)),0)</f>
        <v>2279</v>
      </c>
      <c r="D3" s="19">
        <f>ROUND(SUMIFS(INDEX(PaymentBreakdown[],0,MATCH(D$2,PaymentBreakdown[#Headers],0)),PaymentBreakdown[AEA],$A3,PaymentBreakdown[FiscalYear],$K$1)/SUMIFS(INDEX(PaymentBreakdown[],0,MATCH($I$2,PaymentBreakdown[#Headers],0)),PaymentBreakdown[AEA],$A3,PaymentBreakdown[FiscalYear],$K$1)*
INDEX(Data[],MATCH($A3,Data[AEA],0),MATCH("Pay1 - Sept - May",Data[#Headers],0)),0)</f>
        <v>721</v>
      </c>
      <c r="E3" s="12">
        <f>ROUND(SUMIFS(INDEX(PaymentBreakdown[],0,MATCH(E$2,PaymentBreakdown[#Headers],0)),PaymentBreakdown[AEA],$A3,PaymentBreakdown[FiscalYear],$K$1)/SUMIFS(INDEX(PaymentBreakdown[],0,MATCH($I$2,PaymentBreakdown[#Headers],0)),PaymentBreakdown[AEA],$A3,PaymentBreakdown[FiscalYear],$K$1)*
INDEX(Data[],MATCH($A3,Data[AEA],0),MATCH("Pay1 - Sept - May",Data[#Headers],0)),0)</f>
        <v>3000</v>
      </c>
      <c r="F3" s="22">
        <f>ROUND(SUMIFS(INDEX(PaymentBreakdown[],0,MATCH(F$2,PaymentBreakdown[#Headers],0)),PaymentBreakdown[AEA],$A3,PaymentBreakdown[FiscalYear],$K$1)/SUMIFS(INDEX(PaymentBreakdown[],0,MATCH($I$2,PaymentBreakdown[#Headers],0)),PaymentBreakdown[AEA],$A3,PaymentBreakdown[FiscalYear],$K$1)*
INDEX(Data[],MATCH($A3,Data[AEA],0),MATCH("Pay1 - Sept - May",Data[#Headers],0)),0)</f>
        <v>115186</v>
      </c>
      <c r="G3" s="19">
        <f>ROUND(SUMIFS(INDEX(PaymentBreakdown[],0,MATCH(G$2,PaymentBreakdown[#Headers],0)),PaymentBreakdown[AEA],$A3,PaymentBreakdown[FiscalYear],$K$1)/SUMIFS(INDEX(PaymentBreakdown[],0,MATCH($I$2,PaymentBreakdown[#Headers],0)),PaymentBreakdown[AEA],$A3,PaymentBreakdown[FiscalYear],$K$1)*
INDEX(Data[],MATCH($A3,Data[AEA],0),MATCH("Pay1 - Sept - May",Data[#Headers],0)),0)</f>
        <v>26209</v>
      </c>
      <c r="H3" s="19">
        <f>ROUND(SUMIFS(INDEX(PaymentBreakdown[],0,MATCH(H$2,PaymentBreakdown[#Headers],0)),PaymentBreakdown[AEA],$A3,PaymentBreakdown[FiscalYear],$K$1)/SUMIFS(INDEX(PaymentBreakdown[],0,MATCH($I$2,PaymentBreakdown[#Headers],0)),PaymentBreakdown[AEA],$A3,PaymentBreakdown[FiscalYear],$K$1)*
INDEX(Data[],MATCH($A3,Data[AEA],0),MATCH("Pay1 - Sept - May",Data[#Headers],0)),0)</f>
        <v>29192</v>
      </c>
      <c r="I3" s="49">
        <f>INDEX(Data[],MATCH($A3,Data[AEA],0),MATCH("Pay1 - Sept - May",Data[#Headers],0))</f>
        <v>173587</v>
      </c>
      <c r="K3" s="6">
        <f>E3-D3-C3</f>
        <v>0</v>
      </c>
      <c r="L3" s="6">
        <f t="shared" ref="L3:L12" si="0">SUM(C3:D3,F3:H3)-I3</f>
        <v>0</v>
      </c>
      <c r="M3" s="6">
        <f t="shared" ref="M3:M12" si="1">SUM(E3:H3)-I3</f>
        <v>0</v>
      </c>
    </row>
    <row r="4" spans="1:13" x14ac:dyDescent="0.25">
      <c r="A4" s="18" t="str">
        <f>Data!A3</f>
        <v>05</v>
      </c>
      <c r="B4" s="11" t="str">
        <f>INDEX(Data_Detail_OLD[],MATCH('PaymentCodingDetai_Sept-May'!$A4,Data_Detail_OLD[AEA],0),3)</f>
        <v>Prairie Lakes AEA 8</v>
      </c>
      <c r="C4" s="22">
        <f>ROUND(SUMIFS(INDEX(PaymentBreakdown[],0,MATCH(C$2,PaymentBreakdown[#Headers],0)),PaymentBreakdown[AEA],$A4,PaymentBreakdown[FiscalYear],$K$1)/SUMIFS(INDEX(PaymentBreakdown[],0,MATCH($I$2,PaymentBreakdown[#Headers],0)),PaymentBreakdown[AEA],$A4,PaymentBreakdown[FiscalYear],$K$1)*
INDEX(Data[],MATCH($A4,Data[AEA],0),MATCH("Pay1 - Sept - May",Data[#Headers],0)),0)</f>
        <v>0</v>
      </c>
      <c r="D4" s="19">
        <f>ROUND(SUMIFS(INDEX(PaymentBreakdown[],0,MATCH(D$2,PaymentBreakdown[#Headers],0)),PaymentBreakdown[AEA],$A4,PaymentBreakdown[FiscalYear],$K$1)/SUMIFS(INDEX(PaymentBreakdown[],0,MATCH($I$2,PaymentBreakdown[#Headers],0)),PaymentBreakdown[AEA],$A4,PaymentBreakdown[FiscalYear],$K$1)*
INDEX(Data[],MATCH($A4,Data[AEA],0),MATCH("Pay1 - Sept - May",Data[#Headers],0)),0)</f>
        <v>0</v>
      </c>
      <c r="E4" s="12">
        <f>ROUND(SUMIFS(INDEX(PaymentBreakdown[],0,MATCH(E$2,PaymentBreakdown[#Headers],0)),PaymentBreakdown[AEA],$A4,PaymentBreakdown[FiscalYear],$K$1)/SUMIFS(INDEX(PaymentBreakdown[],0,MATCH($I$2,PaymentBreakdown[#Headers],0)),PaymentBreakdown[AEA],$A4,PaymentBreakdown[FiscalYear],$K$1)*
INDEX(Data[],MATCH($A4,Data[AEA],0),MATCH("Pay1 - Sept - May",Data[#Headers],0)),0)</f>
        <v>0</v>
      </c>
      <c r="F4" s="22">
        <f>ROUND(SUMIFS(INDEX(PaymentBreakdown[],0,MATCH(F$2,PaymentBreakdown[#Headers],0)),PaymentBreakdown[AEA],$A4,PaymentBreakdown[FiscalYear],$K$1)/SUMIFS(INDEX(PaymentBreakdown[],0,MATCH($I$2,PaymentBreakdown[#Headers],0)),PaymentBreakdown[AEA],$A4,PaymentBreakdown[FiscalYear],$K$1)*
INDEX(Data[],MATCH($A4,Data[AEA],0),MATCH("Pay1 - Sept - May",Data[#Headers],0)),0)</f>
        <v>127612</v>
      </c>
      <c r="G4" s="19">
        <f>ROUND(SUMIFS(INDEX(PaymentBreakdown[],0,MATCH(G$2,PaymentBreakdown[#Headers],0)),PaymentBreakdown[AEA],$A4,PaymentBreakdown[FiscalYear],$K$1)/SUMIFS(INDEX(PaymentBreakdown[],0,MATCH($I$2,PaymentBreakdown[#Headers],0)),PaymentBreakdown[AEA],$A4,PaymentBreakdown[FiscalYear],$K$1)*
INDEX(Data[],MATCH($A4,Data[AEA],0),MATCH("Pay1 - Sept - May",Data[#Headers],0)),0)</f>
        <v>15048</v>
      </c>
      <c r="H4" s="19">
        <f>ROUND(SUMIFS(INDEX(PaymentBreakdown[],0,MATCH(H$2,PaymentBreakdown[#Headers],0)),PaymentBreakdown[AEA],$A4,PaymentBreakdown[FiscalYear],$K$1)/SUMIFS(INDEX(PaymentBreakdown[],0,MATCH($I$2,PaymentBreakdown[#Headers],0)),PaymentBreakdown[AEA],$A4,PaymentBreakdown[FiscalYear],$K$1)*
INDEX(Data[],MATCH($A4,Data[AEA],0),MATCH("Pay1 - Sept - May",Data[#Headers],0)),0)</f>
        <v>16849</v>
      </c>
      <c r="I4" s="49">
        <f>INDEX(Data[],MATCH($A4,Data[AEA],0),MATCH("Pay1 - Sept - May",Data[#Headers],0))</f>
        <v>159509</v>
      </c>
      <c r="K4" s="6">
        <f t="shared" ref="K4:K12" si="2">E4-D4-C4</f>
        <v>0</v>
      </c>
      <c r="L4" s="6">
        <f t="shared" si="0"/>
        <v>0</v>
      </c>
      <c r="M4" s="6">
        <f t="shared" si="1"/>
        <v>0</v>
      </c>
    </row>
    <row r="5" spans="1:13" x14ac:dyDescent="0.25">
      <c r="A5" s="18" t="str">
        <f>Data!A4</f>
        <v>07</v>
      </c>
      <c r="B5" s="11" t="str">
        <f>INDEX(Data_Detail_OLD[],MATCH('PaymentCodingDetai_Sept-May'!$A5,Data_Detail_OLD[AEA],0),3)</f>
        <v>Central Rivers</v>
      </c>
      <c r="C5" s="22">
        <f>ROUND(SUMIFS(INDEX(PaymentBreakdown[],0,MATCH(C$2,PaymentBreakdown[#Headers],0)),PaymentBreakdown[AEA],$A5,PaymentBreakdown[FiscalYear],$K$1)/SUMIFS(INDEX(PaymentBreakdown[],0,MATCH($I$2,PaymentBreakdown[#Headers],0)),PaymentBreakdown[AEA],$A5,PaymentBreakdown[FiscalYear],$K$1)*
INDEX(Data[],MATCH($A5,Data[AEA],0),MATCH("Pay1 - Sept - May",Data[#Headers],0)),0)</f>
        <v>2349</v>
      </c>
      <c r="D5" s="19">
        <f>ROUND(SUMIFS(INDEX(PaymentBreakdown[],0,MATCH(D$2,PaymentBreakdown[#Headers],0)),PaymentBreakdown[AEA],$A5,PaymentBreakdown[FiscalYear],$K$1)/SUMIFS(INDEX(PaymentBreakdown[],0,MATCH($I$2,PaymentBreakdown[#Headers],0)),PaymentBreakdown[AEA],$A5,PaymentBreakdown[FiscalYear],$K$1)*
INDEX(Data[],MATCH($A5,Data[AEA],0),MATCH("Pay1 - Sept - May",Data[#Headers],0)),0)</f>
        <v>651</v>
      </c>
      <c r="E5" s="12">
        <f>ROUND(SUMIFS(INDEX(PaymentBreakdown[],0,MATCH(E$2,PaymentBreakdown[#Headers],0)),PaymentBreakdown[AEA],$A5,PaymentBreakdown[FiscalYear],$K$1)/SUMIFS(INDEX(PaymentBreakdown[],0,MATCH($I$2,PaymentBreakdown[#Headers],0)),PaymentBreakdown[AEA],$A5,PaymentBreakdown[FiscalYear],$K$1)*
INDEX(Data[],MATCH($A5,Data[AEA],0),MATCH("Pay1 - Sept - May",Data[#Headers],0)),0)</f>
        <v>3000</v>
      </c>
      <c r="F5" s="22">
        <f>ROUND(SUMIFS(INDEX(PaymentBreakdown[],0,MATCH(F$2,PaymentBreakdown[#Headers],0)),PaymentBreakdown[AEA],$A5,PaymentBreakdown[FiscalYear],$K$1)/SUMIFS(INDEX(PaymentBreakdown[],0,MATCH($I$2,PaymentBreakdown[#Headers],0)),PaymentBreakdown[AEA],$A5,PaymentBreakdown[FiscalYear],$K$1)*
INDEX(Data[],MATCH($A5,Data[AEA],0),MATCH("Pay1 - Sept - May",Data[#Headers],0)),0)</f>
        <v>303214</v>
      </c>
      <c r="G5" s="19">
        <f>ROUND(SUMIFS(INDEX(PaymentBreakdown[],0,MATCH(G$2,PaymentBreakdown[#Headers],0)),PaymentBreakdown[AEA],$A5,PaymentBreakdown[FiscalYear],$K$1)/SUMIFS(INDEX(PaymentBreakdown[],0,MATCH($I$2,PaymentBreakdown[#Headers],0)),PaymentBreakdown[AEA],$A5,PaymentBreakdown[FiscalYear],$K$1)*
INDEX(Data[],MATCH($A5,Data[AEA],0),MATCH("Pay1 - Sept - May",Data[#Headers],0)),0)+1</f>
        <v>25320</v>
      </c>
      <c r="H5" s="19">
        <f>ROUND(SUMIFS(INDEX(PaymentBreakdown[],0,MATCH(H$2,PaymentBreakdown[#Headers],0)),PaymentBreakdown[AEA],$A5,PaymentBreakdown[FiscalYear],$K$1)/SUMIFS(INDEX(PaymentBreakdown[],0,MATCH($I$2,PaymentBreakdown[#Headers],0)),PaymentBreakdown[AEA],$A5,PaymentBreakdown[FiscalYear],$K$1)*
INDEX(Data[],MATCH($A5,Data[AEA],0),MATCH("Pay1 - Sept - May",Data[#Headers],0)),0)</f>
        <v>28224</v>
      </c>
      <c r="I5" s="49">
        <f>INDEX(Data[],MATCH($A5,Data[AEA],0),MATCH("Pay1 - Sept - May",Data[#Headers],0))</f>
        <v>359758</v>
      </c>
      <c r="K5" s="6">
        <f t="shared" si="2"/>
        <v>0</v>
      </c>
      <c r="L5" s="6">
        <f t="shared" si="0"/>
        <v>0</v>
      </c>
      <c r="M5" s="6">
        <f t="shared" si="1"/>
        <v>0</v>
      </c>
    </row>
    <row r="6" spans="1:13" x14ac:dyDescent="0.25">
      <c r="A6" s="18" t="str">
        <f>Data!A5</f>
        <v>09</v>
      </c>
      <c r="B6" s="11" t="str">
        <f>INDEX(Data_Detail_OLD[],MATCH('PaymentCodingDetai_Sept-May'!$A6,Data_Detail_OLD[AEA],0),3)</f>
        <v>Mississippi Bend AEA 9</v>
      </c>
      <c r="C6" s="22">
        <f>ROUND(SUMIFS(INDEX(PaymentBreakdown[],0,MATCH(C$2,PaymentBreakdown[#Headers],0)),PaymentBreakdown[AEA],$A6,PaymentBreakdown[FiscalYear],$K$1)/SUMIFS(INDEX(PaymentBreakdown[],0,MATCH($I$2,PaymentBreakdown[#Headers],0)),PaymentBreakdown[AEA],$A6,PaymentBreakdown[FiscalYear],$K$1)*
INDEX(Data[],MATCH($A6,Data[AEA],0),MATCH("Pay1 - Sept - May",Data[#Headers],0)),0)</f>
        <v>2365</v>
      </c>
      <c r="D6" s="19">
        <f>ROUND(SUMIFS(INDEX(PaymentBreakdown[],0,MATCH(D$2,PaymentBreakdown[#Headers],0)),PaymentBreakdown[AEA],$A6,PaymentBreakdown[FiscalYear],$K$1)/SUMIFS(INDEX(PaymentBreakdown[],0,MATCH($I$2,PaymentBreakdown[#Headers],0)),PaymentBreakdown[AEA],$A6,PaymentBreakdown[FiscalYear],$K$1)*
INDEX(Data[],MATCH($A6,Data[AEA],0),MATCH("Pay1 - Sept - May",Data[#Headers],0)),0)</f>
        <v>635</v>
      </c>
      <c r="E6" s="12">
        <f>ROUND(SUMIFS(INDEX(PaymentBreakdown[],0,MATCH(E$2,PaymentBreakdown[#Headers],0)),PaymentBreakdown[AEA],$A6,PaymentBreakdown[FiscalYear],$K$1)/SUMIFS(INDEX(PaymentBreakdown[],0,MATCH($I$2,PaymentBreakdown[#Headers],0)),PaymentBreakdown[AEA],$A6,PaymentBreakdown[FiscalYear],$K$1)*
INDEX(Data[],MATCH($A6,Data[AEA],0),MATCH("Pay1 - Sept - May",Data[#Headers],0)),0)</f>
        <v>3000</v>
      </c>
      <c r="F6" s="22">
        <f>ROUND(SUMIFS(INDEX(PaymentBreakdown[],0,MATCH(F$2,PaymentBreakdown[#Headers],0)),PaymentBreakdown[AEA],$A6,PaymentBreakdown[FiscalYear],$K$1)/SUMIFS(INDEX(PaymentBreakdown[],0,MATCH($I$2,PaymentBreakdown[#Headers],0)),PaymentBreakdown[AEA],$A6,PaymentBreakdown[FiscalYear],$K$1)*
INDEX(Data[],MATCH($A6,Data[AEA],0),MATCH("Pay1 - Sept - May",Data[#Headers],0)),0)</f>
        <v>163408</v>
      </c>
      <c r="G6" s="19">
        <f>ROUND(SUMIFS(INDEX(PaymentBreakdown[],0,MATCH(G$2,PaymentBreakdown[#Headers],0)),PaymentBreakdown[AEA],$A6,PaymentBreakdown[FiscalYear],$K$1)/SUMIFS(INDEX(PaymentBreakdown[],0,MATCH($I$2,PaymentBreakdown[#Headers],0)),PaymentBreakdown[AEA],$A6,PaymentBreakdown[FiscalYear],$K$1)*
INDEX(Data[],MATCH($A6,Data[AEA],0),MATCH("Pay1 - Sept - May",Data[#Headers],0)),0)</f>
        <v>24585</v>
      </c>
      <c r="H6" s="19">
        <f>ROUND(SUMIFS(INDEX(PaymentBreakdown[],0,MATCH(H$2,PaymentBreakdown[#Headers],0)),PaymentBreakdown[AEA],$A6,PaymentBreakdown[FiscalYear],$K$1)/SUMIFS(INDEX(PaymentBreakdown[],0,MATCH($I$2,PaymentBreakdown[#Headers],0)),PaymentBreakdown[AEA],$A6,PaymentBreakdown[FiscalYear],$K$1)*
INDEX(Data[],MATCH($A6,Data[AEA],0),MATCH("Pay1 - Sept - May",Data[#Headers],0)),0)</f>
        <v>26884</v>
      </c>
      <c r="I6" s="49">
        <f>INDEX(Data[],MATCH($A6,Data[AEA],0),MATCH("Pay1 - Sept - May",Data[#Headers],0))</f>
        <v>217877</v>
      </c>
      <c r="K6" s="6">
        <f t="shared" si="2"/>
        <v>0</v>
      </c>
      <c r="L6" s="6">
        <f t="shared" si="0"/>
        <v>0</v>
      </c>
      <c r="M6" s="6">
        <f t="shared" si="1"/>
        <v>0</v>
      </c>
    </row>
    <row r="7" spans="1:13" x14ac:dyDescent="0.25">
      <c r="A7" s="18" t="str">
        <f>Data!A6</f>
        <v>10</v>
      </c>
      <c r="B7" s="11" t="str">
        <f>INDEX(Data_Detail_OLD[],MATCH('PaymentCodingDetai_Sept-May'!$A7,Data_Detail_OLD[AEA],0),3)</f>
        <v>Grant Wood AEA 10</v>
      </c>
      <c r="C7" s="22">
        <f>ROUND(SUMIFS(INDEX(PaymentBreakdown[],0,MATCH(C$2,PaymentBreakdown[#Headers],0)),PaymentBreakdown[AEA],$A7,PaymentBreakdown[FiscalYear],$K$1)/SUMIFS(INDEX(PaymentBreakdown[],0,MATCH($I$2,PaymentBreakdown[#Headers],0)),PaymentBreakdown[AEA],$A7,PaymentBreakdown[FiscalYear],$K$1)*
INDEX(Data[],MATCH($A7,Data[AEA],0),MATCH("Pay1 - Sept - May",Data[#Headers],0)),0)+1</f>
        <v>2379</v>
      </c>
      <c r="D7" s="19">
        <f>ROUND(SUMIFS(INDEX(PaymentBreakdown[],0,MATCH(D$2,PaymentBreakdown[#Headers],0)),PaymentBreakdown[AEA],$A7,PaymentBreakdown[FiscalYear],$K$1)/SUMIFS(INDEX(PaymentBreakdown[],0,MATCH($I$2,PaymentBreakdown[#Headers],0)),PaymentBreakdown[AEA],$A7,PaymentBreakdown[FiscalYear],$K$1)*
INDEX(Data[],MATCH($A7,Data[AEA],0),MATCH("Pay1 - Sept - May",Data[#Headers],0)),0)-1</f>
        <v>621</v>
      </c>
      <c r="E7" s="12">
        <f>ROUND(SUMIFS(INDEX(PaymentBreakdown[],0,MATCH(E$2,PaymentBreakdown[#Headers],0)),PaymentBreakdown[AEA],$A7,PaymentBreakdown[FiscalYear],$K$1)/SUMIFS(INDEX(PaymentBreakdown[],0,MATCH($I$2,PaymentBreakdown[#Headers],0)),PaymentBreakdown[AEA],$A7,PaymentBreakdown[FiscalYear],$K$1)*
INDEX(Data[],MATCH($A7,Data[AEA],0),MATCH("Pay1 - Sept - May",Data[#Headers],0)),0)</f>
        <v>3000</v>
      </c>
      <c r="F7" s="22">
        <f>ROUND(SUMIFS(INDEX(PaymentBreakdown[],0,MATCH(F$2,PaymentBreakdown[#Headers],0)),PaymentBreakdown[AEA],$A7,PaymentBreakdown[FiscalYear],$K$1)/SUMIFS(INDEX(PaymentBreakdown[],0,MATCH($I$2,PaymentBreakdown[#Headers],0)),PaymentBreakdown[AEA],$A7,PaymentBreakdown[FiscalYear],$K$1)*
INDEX(Data[],MATCH($A7,Data[AEA],0),MATCH("Pay1 - Sept - May",Data[#Headers],0)),0)</f>
        <v>257005</v>
      </c>
      <c r="G7" s="19">
        <f>ROUND(SUMIFS(INDEX(PaymentBreakdown[],0,MATCH(G$2,PaymentBreakdown[#Headers],0)),PaymentBreakdown[AEA],$A7,PaymentBreakdown[FiscalYear],$K$1)/SUMIFS(INDEX(PaymentBreakdown[],0,MATCH($I$2,PaymentBreakdown[#Headers],0)),PaymentBreakdown[AEA],$A7,PaymentBreakdown[FiscalYear],$K$1)*
INDEX(Data[],MATCH($A7,Data[AEA],0),MATCH("Pay1 - Sept - May",Data[#Headers],0)),0)</f>
        <v>34401</v>
      </c>
      <c r="H7" s="19">
        <f>ROUND(SUMIFS(INDEX(PaymentBreakdown[],0,MATCH(H$2,PaymentBreakdown[#Headers],0)),PaymentBreakdown[AEA],$A7,PaymentBreakdown[FiscalYear],$K$1)/SUMIFS(INDEX(PaymentBreakdown[],0,MATCH($I$2,PaymentBreakdown[#Headers],0)),PaymentBreakdown[AEA],$A7,PaymentBreakdown[FiscalYear],$K$1)*
INDEX(Data[],MATCH($A7,Data[AEA],0),MATCH("Pay1 - Sept - May",Data[#Headers],0)),0)</f>
        <v>37831</v>
      </c>
      <c r="I7" s="49">
        <f>INDEX(Data[],MATCH($A7,Data[AEA],0),MATCH("Pay1 - Sept - May",Data[#Headers],0))</f>
        <v>332237</v>
      </c>
      <c r="K7" s="6">
        <f t="shared" si="2"/>
        <v>0</v>
      </c>
      <c r="L7" s="6">
        <f t="shared" si="0"/>
        <v>0</v>
      </c>
      <c r="M7" s="6">
        <f t="shared" si="1"/>
        <v>0</v>
      </c>
    </row>
    <row r="8" spans="1:13" x14ac:dyDescent="0.25">
      <c r="A8" s="18" t="str">
        <f>Data!A7</f>
        <v>11</v>
      </c>
      <c r="B8" s="11" t="str">
        <f>INDEX(Data_Detail_OLD[],MATCH('PaymentCodingDetai_Sept-May'!$A8,Data_Detail_OLD[AEA],0),3)</f>
        <v>Heartland AEA 11</v>
      </c>
      <c r="C8" s="22">
        <f>ROUND(SUMIFS(INDEX(PaymentBreakdown[],0,MATCH(C$2,PaymentBreakdown[#Headers],0)),PaymentBreakdown[AEA],$A8,PaymentBreakdown[FiscalYear],$K$1)/SUMIFS(INDEX(PaymentBreakdown[],0,MATCH($I$2,PaymentBreakdown[#Headers],0)),PaymentBreakdown[AEA],$A8,PaymentBreakdown[FiscalYear],$K$1)*
INDEX(Data[],MATCH($A8,Data[AEA],0),MATCH("Pay1 - Sept - May",Data[#Headers],0)),0)</f>
        <v>0</v>
      </c>
      <c r="D8" s="19">
        <f>ROUND(SUMIFS(INDEX(PaymentBreakdown[],0,MATCH(D$2,PaymentBreakdown[#Headers],0)),PaymentBreakdown[AEA],$A8,PaymentBreakdown[FiscalYear],$K$1)/SUMIFS(INDEX(PaymentBreakdown[],0,MATCH($I$2,PaymentBreakdown[#Headers],0)),PaymentBreakdown[AEA],$A8,PaymentBreakdown[FiscalYear],$K$1)*
INDEX(Data[],MATCH($A8,Data[AEA],0),MATCH("Pay1 - Sept - May",Data[#Headers],0)),0)</f>
        <v>0</v>
      </c>
      <c r="E8" s="12">
        <f>ROUND(SUMIFS(INDEX(PaymentBreakdown[],0,MATCH(E$2,PaymentBreakdown[#Headers],0)),PaymentBreakdown[AEA],$A8,PaymentBreakdown[FiscalYear],$K$1)/SUMIFS(INDEX(PaymentBreakdown[],0,MATCH($I$2,PaymentBreakdown[#Headers],0)),PaymentBreakdown[AEA],$A8,PaymentBreakdown[FiscalYear],$K$1)*
INDEX(Data[],MATCH($A8,Data[AEA],0),MATCH("Pay1 - Sept - May",Data[#Headers],0)),0)</f>
        <v>0</v>
      </c>
      <c r="F8" s="22">
        <f>ROUND(SUMIFS(INDEX(PaymentBreakdown[],0,MATCH(F$2,PaymentBreakdown[#Headers],0)),PaymentBreakdown[AEA],$A8,PaymentBreakdown[FiscalYear],$K$1)/SUMIFS(INDEX(PaymentBreakdown[],0,MATCH($I$2,PaymentBreakdown[#Headers],0)),PaymentBreakdown[AEA],$A8,PaymentBreakdown[FiscalYear],$K$1)*
INDEX(Data[],MATCH($A8,Data[AEA],0),MATCH("Pay1 - Sept - May",Data[#Headers],0)),0)</f>
        <v>475369</v>
      </c>
      <c r="G8" s="19">
        <f>ROUND(SUMIFS(INDEX(PaymentBreakdown[],0,MATCH(G$2,PaymentBreakdown[#Headers],0)),PaymentBreakdown[AEA],$A8,PaymentBreakdown[FiscalYear],$K$1)/SUMIFS(INDEX(PaymentBreakdown[],0,MATCH($I$2,PaymentBreakdown[#Headers],0)),PaymentBreakdown[AEA],$A8,PaymentBreakdown[FiscalYear],$K$1)*
INDEX(Data[],MATCH($A8,Data[AEA],0),MATCH("Pay1 - Sept - May",Data[#Headers],0)),0)+1</f>
        <v>75226</v>
      </c>
      <c r="H8" s="19">
        <f>ROUND(SUMIFS(INDEX(PaymentBreakdown[],0,MATCH(H$2,PaymentBreakdown[#Headers],0)),PaymentBreakdown[AEA],$A8,PaymentBreakdown[FiscalYear],$K$1)/SUMIFS(INDEX(PaymentBreakdown[],0,MATCH($I$2,PaymentBreakdown[#Headers],0)),PaymentBreakdown[AEA],$A8,PaymentBreakdown[FiscalYear],$K$1)*
INDEX(Data[],MATCH($A8,Data[AEA],0),MATCH("Pay1 - Sept - May",Data[#Headers],0)),0)</f>
        <v>82671</v>
      </c>
      <c r="I8" s="49">
        <f>INDEX(Data[],MATCH($A8,Data[AEA],0),MATCH("Pay1 - Sept - May",Data[#Headers],0))</f>
        <v>633266</v>
      </c>
      <c r="K8" s="6">
        <f t="shared" si="2"/>
        <v>0</v>
      </c>
      <c r="L8" s="6">
        <f t="shared" si="0"/>
        <v>0</v>
      </c>
      <c r="M8" s="6">
        <f t="shared" si="1"/>
        <v>0</v>
      </c>
    </row>
    <row r="9" spans="1:13" x14ac:dyDescent="0.25">
      <c r="A9" s="18" t="str">
        <f>Data!A8</f>
        <v>12</v>
      </c>
      <c r="B9" s="11" t="str">
        <f>INDEX(Data_Detail_OLD[],MATCH('PaymentCodingDetai_Sept-May'!$A9,Data_Detail_OLD[AEA],0),3)</f>
        <v>Northwest AEA</v>
      </c>
      <c r="C9" s="22">
        <f>ROUND(SUMIFS(INDEX(PaymentBreakdown[],0,MATCH(C$2,PaymentBreakdown[#Headers],0)),PaymentBreakdown[AEA],$A9,PaymentBreakdown[FiscalYear],$K$1)/SUMIFS(INDEX(PaymentBreakdown[],0,MATCH($I$2,PaymentBreakdown[#Headers],0)),PaymentBreakdown[AEA],$A9,PaymentBreakdown[FiscalYear],$K$1)*
INDEX(Data[],MATCH($A9,Data[AEA],0),MATCH("Pay1 - Sept - May",Data[#Headers],0)),0)</f>
        <v>2327</v>
      </c>
      <c r="D9" s="19">
        <f>ROUND(SUMIFS(INDEX(PaymentBreakdown[],0,MATCH(D$2,PaymentBreakdown[#Headers],0)),PaymentBreakdown[AEA],$A9,PaymentBreakdown[FiscalYear],$K$1)/SUMIFS(INDEX(PaymentBreakdown[],0,MATCH($I$2,PaymentBreakdown[#Headers],0)),PaymentBreakdown[AEA],$A9,PaymentBreakdown[FiscalYear],$K$1)*
INDEX(Data[],MATCH($A9,Data[AEA],0),MATCH("Pay1 - Sept - May",Data[#Headers],0)),0)</f>
        <v>673</v>
      </c>
      <c r="E9" s="12">
        <f>ROUND(SUMIFS(INDEX(PaymentBreakdown[],0,MATCH(E$2,PaymentBreakdown[#Headers],0)),PaymentBreakdown[AEA],$A9,PaymentBreakdown[FiscalYear],$K$1)/SUMIFS(INDEX(PaymentBreakdown[],0,MATCH($I$2,PaymentBreakdown[#Headers],0)),PaymentBreakdown[AEA],$A9,PaymentBreakdown[FiscalYear],$K$1)*
INDEX(Data[],MATCH($A9,Data[AEA],0),MATCH("Pay1 - Sept - May",Data[#Headers],0)),0)</f>
        <v>3000</v>
      </c>
      <c r="F9" s="22">
        <f>ROUND(SUMIFS(INDEX(PaymentBreakdown[],0,MATCH(F$2,PaymentBreakdown[#Headers],0)),PaymentBreakdown[AEA],$A9,PaymentBreakdown[FiscalYear],$K$1)/SUMIFS(INDEX(PaymentBreakdown[],0,MATCH($I$2,PaymentBreakdown[#Headers],0)),PaymentBreakdown[AEA],$A9,PaymentBreakdown[FiscalYear],$K$1)*
INDEX(Data[],MATCH($A9,Data[AEA],0),MATCH("Pay1 - Sept - May",Data[#Headers],0)),0)</f>
        <v>161960</v>
      </c>
      <c r="G9" s="19">
        <f>ROUND(SUMIFS(INDEX(PaymentBreakdown[],0,MATCH(G$2,PaymentBreakdown[#Headers],0)),PaymentBreakdown[AEA],$A9,PaymentBreakdown[FiscalYear],$K$1)/SUMIFS(INDEX(PaymentBreakdown[],0,MATCH($I$2,PaymentBreakdown[#Headers],0)),PaymentBreakdown[AEA],$A9,PaymentBreakdown[FiscalYear],$K$1)*
INDEX(Data[],MATCH($A9,Data[AEA],0),MATCH("Pay1 - Sept - May",Data[#Headers],0)),0)</f>
        <v>37707</v>
      </c>
      <c r="H9" s="19">
        <f>ROUND(SUMIFS(INDEX(PaymentBreakdown[],0,MATCH(H$2,PaymentBreakdown[#Headers],0)),PaymentBreakdown[AEA],$A9,PaymentBreakdown[FiscalYear],$K$1)/SUMIFS(INDEX(PaymentBreakdown[],0,MATCH($I$2,PaymentBreakdown[#Headers],0)),PaymentBreakdown[AEA],$A9,PaymentBreakdown[FiscalYear],$K$1)*
INDEX(Data[],MATCH($A9,Data[AEA],0),MATCH("Pay1 - Sept - May",Data[#Headers],0)),0)</f>
        <v>42207</v>
      </c>
      <c r="I9" s="49">
        <f>INDEX(Data[],MATCH($A9,Data[AEA],0),MATCH("Pay1 - Sept - May",Data[#Headers],0))</f>
        <v>244874</v>
      </c>
      <c r="K9" s="6">
        <f t="shared" si="2"/>
        <v>0</v>
      </c>
      <c r="L9" s="6">
        <f t="shared" si="0"/>
        <v>0</v>
      </c>
      <c r="M9" s="6">
        <f t="shared" si="1"/>
        <v>0</v>
      </c>
    </row>
    <row r="10" spans="1:13" x14ac:dyDescent="0.25">
      <c r="A10" s="18" t="str">
        <f>Data!A9</f>
        <v>13</v>
      </c>
      <c r="B10" s="11" t="str">
        <f>INDEX(Data_Detail_OLD[],MATCH('PaymentCodingDetai_Sept-May'!$A10,Data_Detail_OLD[AEA],0),3)</f>
        <v>Green Hills AEA 13</v>
      </c>
      <c r="C10" s="22">
        <f>ROUND(SUMIFS(INDEX(PaymentBreakdown[],0,MATCH(C$2,PaymentBreakdown[#Headers],0)),PaymentBreakdown[AEA],$A10,PaymentBreakdown[FiscalYear],$K$1)/SUMIFS(INDEX(PaymentBreakdown[],0,MATCH($I$2,PaymentBreakdown[#Headers],0)),PaymentBreakdown[AEA],$A10,PaymentBreakdown[FiscalYear],$K$1)*
INDEX(Data[],MATCH($A10,Data[AEA],0),MATCH("Pay1 - Sept - May",Data[#Headers],0)),0)-1</f>
        <v>2371</v>
      </c>
      <c r="D10" s="19">
        <f>ROUND(SUMIFS(INDEX(PaymentBreakdown[],0,MATCH(D$2,PaymentBreakdown[#Headers],0)),PaymentBreakdown[AEA],$A10,PaymentBreakdown[FiscalYear],$K$1)/SUMIFS(INDEX(PaymentBreakdown[],0,MATCH($I$2,PaymentBreakdown[#Headers],0)),PaymentBreakdown[AEA],$A10,PaymentBreakdown[FiscalYear],$K$1)*
INDEX(Data[],MATCH($A10,Data[AEA],0),MATCH("Pay1 - Sept - May",Data[#Headers],0)),0)</f>
        <v>629</v>
      </c>
      <c r="E10" s="12">
        <f>ROUND(SUMIFS(INDEX(PaymentBreakdown[],0,MATCH(E$2,PaymentBreakdown[#Headers],0)),PaymentBreakdown[AEA],$A10,PaymentBreakdown[FiscalYear],$K$1)/SUMIFS(INDEX(PaymentBreakdown[],0,MATCH($I$2,PaymentBreakdown[#Headers],0)),PaymentBreakdown[AEA],$A10,PaymentBreakdown[FiscalYear],$K$1)*
INDEX(Data[],MATCH($A10,Data[AEA],0),MATCH("Pay1 - Sept - May",Data[#Headers],0)),0)</f>
        <v>3000</v>
      </c>
      <c r="F10" s="22">
        <f>ROUND(SUMIFS(INDEX(PaymentBreakdown[],0,MATCH(F$2,PaymentBreakdown[#Headers],0)),PaymentBreakdown[AEA],$A10,PaymentBreakdown[FiscalYear],$K$1)/SUMIFS(INDEX(PaymentBreakdown[],0,MATCH($I$2,PaymentBreakdown[#Headers],0)),PaymentBreakdown[AEA],$A10,PaymentBreakdown[FiscalYear],$K$1)*
INDEX(Data[],MATCH($A10,Data[AEA],0),MATCH("Pay1 - Sept - May",Data[#Headers],0)),0)</f>
        <v>151949</v>
      </c>
      <c r="G10" s="19">
        <f>ROUND(SUMIFS(INDEX(PaymentBreakdown[],0,MATCH(G$2,PaymentBreakdown[#Headers],0)),PaymentBreakdown[AEA],$A10,PaymentBreakdown[FiscalYear],$K$1)/SUMIFS(INDEX(PaymentBreakdown[],0,MATCH($I$2,PaymentBreakdown[#Headers],0)),PaymentBreakdown[AEA],$A10,PaymentBreakdown[FiscalYear],$K$1)*
INDEX(Data[],MATCH($A10,Data[AEA],0),MATCH("Pay1 - Sept - May",Data[#Headers],0)),0)</f>
        <v>7968</v>
      </c>
      <c r="H10" s="19">
        <f>ROUND(SUMIFS(INDEX(PaymentBreakdown[],0,MATCH(H$2,PaymentBreakdown[#Headers],0)),PaymentBreakdown[AEA],$A10,PaymentBreakdown[FiscalYear],$K$1)/SUMIFS(INDEX(PaymentBreakdown[],0,MATCH($I$2,PaymentBreakdown[#Headers],0)),PaymentBreakdown[AEA],$A10,PaymentBreakdown[FiscalYear],$K$1)*
INDEX(Data[],MATCH($A10,Data[AEA],0),MATCH("Pay1 - Sept - May",Data[#Headers],0)),0)</f>
        <v>8810</v>
      </c>
      <c r="I10" s="49">
        <f>INDEX(Data[],MATCH($A10,Data[AEA],0),MATCH("Pay1 - Sept - May",Data[#Headers],0))</f>
        <v>171727</v>
      </c>
      <c r="K10" s="6">
        <f t="shared" si="2"/>
        <v>0</v>
      </c>
      <c r="L10" s="6">
        <f t="shared" si="0"/>
        <v>0</v>
      </c>
      <c r="M10" s="6">
        <f t="shared" si="1"/>
        <v>0</v>
      </c>
    </row>
    <row r="11" spans="1:13" x14ac:dyDescent="0.25">
      <c r="A11" s="18" t="str">
        <f>Data!A10</f>
        <v>15</v>
      </c>
      <c r="B11" s="11" t="str">
        <f>INDEX(Data_Detail_OLD[],MATCH('PaymentCodingDetai_Sept-May'!$A11,Data_Detail_OLD[AEA],0),3)</f>
        <v>Great Prairie AEA 15</v>
      </c>
      <c r="C11" s="22">
        <f>ROUND(SUMIFS(INDEX(PaymentBreakdown[],0,MATCH(C$2,PaymentBreakdown[#Headers],0)),PaymentBreakdown[AEA],$A11,PaymentBreakdown[FiscalYear],$K$1)/SUMIFS(INDEX(PaymentBreakdown[],0,MATCH($I$2,PaymentBreakdown[#Headers],0)),PaymentBreakdown[AEA],$A11,PaymentBreakdown[FiscalYear],$K$1)*
INDEX(Data[],MATCH($A11,Data[AEA],0),MATCH("Pay1 - Sept - May",Data[#Headers],0)),0)</f>
        <v>2390</v>
      </c>
      <c r="D11" s="19">
        <f>ROUND(SUMIFS(INDEX(PaymentBreakdown[],0,MATCH(D$2,PaymentBreakdown[#Headers],0)),PaymentBreakdown[AEA],$A11,PaymentBreakdown[FiscalYear],$K$1)/SUMIFS(INDEX(PaymentBreakdown[],0,MATCH($I$2,PaymentBreakdown[#Headers],0)),PaymentBreakdown[AEA],$A11,PaymentBreakdown[FiscalYear],$K$1)*
INDEX(Data[],MATCH($A11,Data[AEA],0),MATCH("Pay1 - Sept - May",Data[#Headers],0)),0)</f>
        <v>610</v>
      </c>
      <c r="E11" s="12">
        <f>ROUND(SUMIFS(INDEX(PaymentBreakdown[],0,MATCH(E$2,PaymentBreakdown[#Headers],0)),PaymentBreakdown[AEA],$A11,PaymentBreakdown[FiscalYear],$K$1)/SUMIFS(INDEX(PaymentBreakdown[],0,MATCH($I$2,PaymentBreakdown[#Headers],0)),PaymentBreakdown[AEA],$A11,PaymentBreakdown[FiscalYear],$K$1)*
INDEX(Data[],MATCH($A11,Data[AEA],0),MATCH("Pay1 - Sept - May",Data[#Headers],0)),0)</f>
        <v>3000</v>
      </c>
      <c r="F11" s="22">
        <f>ROUND(SUMIFS(INDEX(PaymentBreakdown[],0,MATCH(F$2,PaymentBreakdown[#Headers],0)),PaymentBreakdown[AEA],$A11,PaymentBreakdown[FiscalYear],$K$1)/SUMIFS(INDEX(PaymentBreakdown[],0,MATCH($I$2,PaymentBreakdown[#Headers],0)),PaymentBreakdown[AEA],$A11,PaymentBreakdown[FiscalYear],$K$1)*
INDEX(Data[],MATCH($A11,Data[AEA],0),MATCH("Pay1 - Sept - May",Data[#Headers],0)),0)</f>
        <v>132759</v>
      </c>
      <c r="G11" s="19">
        <f>ROUND(SUMIFS(INDEX(PaymentBreakdown[],0,MATCH(G$2,PaymentBreakdown[#Headers],0)),PaymentBreakdown[AEA],$A11,PaymentBreakdown[FiscalYear],$K$1)/SUMIFS(INDEX(PaymentBreakdown[],0,MATCH($I$2,PaymentBreakdown[#Headers],0)),PaymentBreakdown[AEA],$A11,PaymentBreakdown[FiscalYear],$K$1)*
INDEX(Data[],MATCH($A11,Data[AEA],0),MATCH("Pay1 - Sept - May",Data[#Headers],0)),0)</f>
        <v>9550</v>
      </c>
      <c r="H11" s="19">
        <f>ROUND(SUMIFS(INDEX(PaymentBreakdown[],0,MATCH(H$2,PaymentBreakdown[#Headers],0)),PaymentBreakdown[AEA],$A11,PaymentBreakdown[FiscalYear],$K$1)/SUMIFS(INDEX(PaymentBreakdown[],0,MATCH($I$2,PaymentBreakdown[#Headers],0)),PaymentBreakdown[AEA],$A11,PaymentBreakdown[FiscalYear],$K$1)*
INDEX(Data[],MATCH($A11,Data[AEA],0),MATCH("Pay1 - Sept - May",Data[#Headers],0)),0)</f>
        <v>10500</v>
      </c>
      <c r="I11" s="49">
        <f>INDEX(Data[],MATCH($A11,Data[AEA],0),MATCH("Pay1 - Sept - May",Data[#Headers],0))</f>
        <v>155809</v>
      </c>
      <c r="K11" s="6">
        <f t="shared" si="2"/>
        <v>0</v>
      </c>
      <c r="L11" s="6">
        <f t="shared" si="0"/>
        <v>0</v>
      </c>
      <c r="M11" s="6">
        <f t="shared" si="1"/>
        <v>0</v>
      </c>
    </row>
    <row r="12" spans="1:13" ht="15.75" thickBot="1" x14ac:dyDescent="0.3">
      <c r="C12" s="37">
        <f>SUM(C3:C11)</f>
        <v>16460</v>
      </c>
      <c r="D12" s="20">
        <f t="shared" ref="D12:G12" si="3">SUM(D3:D11)</f>
        <v>4540</v>
      </c>
      <c r="E12" s="16">
        <f t="shared" si="3"/>
        <v>21000</v>
      </c>
      <c r="F12" s="37">
        <f t="shared" si="3"/>
        <v>1888462</v>
      </c>
      <c r="G12" s="20">
        <f t="shared" si="3"/>
        <v>256014</v>
      </c>
      <c r="H12" s="20">
        <f>SUM(H3:H11)</f>
        <v>283168</v>
      </c>
      <c r="I12" s="16">
        <f>SUM(I3:I11)</f>
        <v>2448644</v>
      </c>
      <c r="K12" s="6">
        <f t="shared" si="2"/>
        <v>0</v>
      </c>
      <c r="L12" s="6">
        <f t="shared" si="0"/>
        <v>0</v>
      </c>
      <c r="M12" s="6">
        <f t="shared" si="1"/>
        <v>0</v>
      </c>
    </row>
    <row r="13" spans="1:13" ht="7.5" customHeight="1" thickTop="1" x14ac:dyDescent="0.25"/>
    <row r="14" spans="1:13" ht="45" x14ac:dyDescent="0.25">
      <c r="A14" s="17" t="str">
        <f t="shared" ref="A14:B23" si="4">A2</f>
        <v>AEA</v>
      </c>
      <c r="B14" s="17" t="str">
        <f t="shared" si="4"/>
        <v>AEA Name</v>
      </c>
      <c r="C14" s="21" t="s">
        <v>769</v>
      </c>
      <c r="D14" s="9" t="s">
        <v>770</v>
      </c>
      <c r="G14" s="32"/>
    </row>
    <row r="15" spans="1:13" x14ac:dyDescent="0.25">
      <c r="A15" s="11" t="str">
        <f t="shared" si="4"/>
        <v>01</v>
      </c>
      <c r="B15" s="11" t="str">
        <f t="shared" si="4"/>
        <v>Keystone AEA 1</v>
      </c>
      <c r="C15" s="22">
        <f>ROUND(SUMIFS(INDEX(PaymentBreakdown[],0,MATCH(C$14,PaymentBreakdown[#Headers],0)),PaymentBreakdown[AEA],$A15,PaymentBreakdown[FiscalYear],$K$1)/SUMIFS(INDEX(PaymentBreakdown[],0,MATCH($I$2,PaymentBreakdown[#Headers],0)),PaymentBreakdown[AEA],$A15,PaymentBreakdown[FiscalYear],$K$1)*
INDEX(Data[],MATCH($A15,Data[AEA],0),MATCH("Pay1 - Sept - May",Data[#Headers],0)),0)</f>
        <v>117465</v>
      </c>
      <c r="D15" s="19">
        <f>ROUND(SUMIFS(INDEX(PaymentBreakdown[],0,MATCH(D$14,PaymentBreakdown[#Headers],0)),PaymentBreakdown[AEA],$A15,PaymentBreakdown[FiscalYear],$K$1)/SUMIFS(INDEX(PaymentBreakdown[],0,MATCH($I$2,PaymentBreakdown[#Headers],0)),PaymentBreakdown[AEA],$A15,PaymentBreakdown[FiscalYear],$K$1)*
INDEX(Data[],MATCH($A15,Data[AEA],0),MATCH("Pay1 - Sept - May",Data[#Headers],0)),0)</f>
        <v>56122</v>
      </c>
      <c r="G15" s="60"/>
    </row>
    <row r="16" spans="1:13" x14ac:dyDescent="0.25">
      <c r="A16" s="11" t="str">
        <f t="shared" si="4"/>
        <v>05</v>
      </c>
      <c r="B16" s="11" t="str">
        <f t="shared" si="4"/>
        <v>Prairie Lakes AEA 8</v>
      </c>
      <c r="C16" s="22">
        <f>ROUND(SUMIFS(INDEX(PaymentBreakdown[],0,MATCH(C$14,PaymentBreakdown[#Headers],0)),PaymentBreakdown[AEA],$A16,PaymentBreakdown[FiscalYear],$K$1)/SUMIFS(INDEX(PaymentBreakdown[],0,MATCH($I$2,PaymentBreakdown[#Headers],0)),PaymentBreakdown[AEA],$A16,PaymentBreakdown[FiscalYear],$K$1)*
INDEX(Data[],MATCH($A16,Data[AEA],0),MATCH("Pay1 - Sept - May",Data[#Headers],0)),0)</f>
        <v>127612</v>
      </c>
      <c r="D16" s="19">
        <f>ROUND(SUMIFS(INDEX(PaymentBreakdown[],0,MATCH(D$14,PaymentBreakdown[#Headers],0)),PaymentBreakdown[AEA],$A16,PaymentBreakdown[FiscalYear],$K$1)/SUMIFS(INDEX(PaymentBreakdown[],0,MATCH($I$2,PaymentBreakdown[#Headers],0)),PaymentBreakdown[AEA],$A16,PaymentBreakdown[FiscalYear],$K$1)*
INDEX(Data[],MATCH($A16,Data[AEA],0),MATCH("Pay1 - Sept - May",Data[#Headers],0)),0)</f>
        <v>31897</v>
      </c>
      <c r="F16" s="67" t="s">
        <v>77</v>
      </c>
      <c r="G16" s="60"/>
    </row>
    <row r="17" spans="1:13" x14ac:dyDescent="0.25">
      <c r="A17" s="11" t="str">
        <f t="shared" si="4"/>
        <v>07</v>
      </c>
      <c r="B17" s="11" t="str">
        <f t="shared" si="4"/>
        <v>Central Rivers</v>
      </c>
      <c r="C17" s="22">
        <f>ROUND(SUMIFS(INDEX(PaymentBreakdown[],0,MATCH(C$14,PaymentBreakdown[#Headers],0)),PaymentBreakdown[AEA],$A17,PaymentBreakdown[FiscalYear],$K$1)/SUMIFS(INDEX(PaymentBreakdown[],0,MATCH($I$2,PaymentBreakdown[#Headers],0)),PaymentBreakdown[AEA],$A17,PaymentBreakdown[FiscalYear],$K$1)*
INDEX(Data[],MATCH($A17,Data[AEA],0),MATCH("Pay1 - Sept - May",Data[#Headers],0)),0)</f>
        <v>305563</v>
      </c>
      <c r="D17" s="19">
        <f>ROUND(SUMIFS(INDEX(PaymentBreakdown[],0,MATCH(D$14,PaymentBreakdown[#Headers],0)),PaymentBreakdown[AEA],$A17,PaymentBreakdown[FiscalYear],$K$1)/SUMIFS(INDEX(PaymentBreakdown[],0,MATCH($I$2,PaymentBreakdown[#Headers],0)),PaymentBreakdown[AEA],$A17,PaymentBreakdown[FiscalYear],$K$1)*
INDEX(Data[],MATCH($A17,Data[AEA],0),MATCH("Pay1 - Sept - May",Data[#Headers],0)),0)</f>
        <v>54195</v>
      </c>
      <c r="F17" s="67"/>
      <c r="G17" s="60"/>
    </row>
    <row r="18" spans="1:13" x14ac:dyDescent="0.25">
      <c r="A18" s="11" t="str">
        <f t="shared" si="4"/>
        <v>09</v>
      </c>
      <c r="B18" s="11" t="str">
        <f t="shared" si="4"/>
        <v>Mississippi Bend AEA 9</v>
      </c>
      <c r="C18" s="22">
        <f>ROUND(SUMIFS(INDEX(PaymentBreakdown[],0,MATCH(C$14,PaymentBreakdown[#Headers],0)),PaymentBreakdown[AEA],$A18,PaymentBreakdown[FiscalYear],$K$1)/SUMIFS(INDEX(PaymentBreakdown[],0,MATCH($I$2,PaymentBreakdown[#Headers],0)),PaymentBreakdown[AEA],$A18,PaymentBreakdown[FiscalYear],$K$1)*
INDEX(Data[],MATCH($A18,Data[AEA],0),MATCH("Pay1 - Sept - May",Data[#Headers],0)),0)</f>
        <v>165773</v>
      </c>
      <c r="D18" s="19">
        <f>ROUND(SUMIFS(INDEX(PaymentBreakdown[],0,MATCH(D$14,PaymentBreakdown[#Headers],0)),PaymentBreakdown[AEA],$A18,PaymentBreakdown[FiscalYear],$K$1)/SUMIFS(INDEX(PaymentBreakdown[],0,MATCH($I$2,PaymentBreakdown[#Headers],0)),PaymentBreakdown[AEA],$A18,PaymentBreakdown[FiscalYear],$K$1)*
INDEX(Data[],MATCH($A18,Data[AEA],0),MATCH("Pay1 - Sept - May",Data[#Headers],0)),0)</f>
        <v>52104</v>
      </c>
      <c r="F18" s="68" t="s">
        <v>729</v>
      </c>
      <c r="G18" s="60"/>
    </row>
    <row r="19" spans="1:13" x14ac:dyDescent="0.25">
      <c r="A19" s="11" t="str">
        <f t="shared" si="4"/>
        <v>10</v>
      </c>
      <c r="B19" s="11" t="str">
        <f t="shared" si="4"/>
        <v>Grant Wood AEA 10</v>
      </c>
      <c r="C19" s="22">
        <f>ROUND(SUMIFS(INDEX(PaymentBreakdown[],0,MATCH(C$14,PaymentBreakdown[#Headers],0)),PaymentBreakdown[AEA],$A19,PaymentBreakdown[FiscalYear],$K$1)/SUMIFS(INDEX(PaymentBreakdown[],0,MATCH($I$2,PaymentBreakdown[#Headers],0)),PaymentBreakdown[AEA],$A19,PaymentBreakdown[FiscalYear],$K$1)*
INDEX(Data[],MATCH($A19,Data[AEA],0),MATCH("Pay1 - Sept - May",Data[#Headers],0)),0)</f>
        <v>259384</v>
      </c>
      <c r="D19" s="19">
        <f>ROUND(SUMIFS(INDEX(PaymentBreakdown[],0,MATCH(D$14,PaymentBreakdown[#Headers],0)),PaymentBreakdown[AEA],$A19,PaymentBreakdown[FiscalYear],$K$1)/SUMIFS(INDEX(PaymentBreakdown[],0,MATCH($I$2,PaymentBreakdown[#Headers],0)),PaymentBreakdown[AEA],$A19,PaymentBreakdown[FiscalYear],$K$1)*
INDEX(Data[],MATCH($A19,Data[AEA],0),MATCH("Pay1 - Sept - May",Data[#Headers],0)),0)</f>
        <v>72853</v>
      </c>
      <c r="F19" s="68"/>
      <c r="G19" s="60"/>
    </row>
    <row r="20" spans="1:13" x14ac:dyDescent="0.25">
      <c r="A20" s="11" t="str">
        <f t="shared" si="4"/>
        <v>11</v>
      </c>
      <c r="B20" s="11" t="str">
        <f t="shared" si="4"/>
        <v>Heartland AEA 11</v>
      </c>
      <c r="C20" s="22">
        <f>ROUND(SUMIFS(INDEX(PaymentBreakdown[],0,MATCH(C$14,PaymentBreakdown[#Headers],0)),PaymentBreakdown[AEA],$A20,PaymentBreakdown[FiscalYear],$K$1)/SUMIFS(INDEX(PaymentBreakdown[],0,MATCH($I$2,PaymentBreakdown[#Headers],0)),PaymentBreakdown[AEA],$A20,PaymentBreakdown[FiscalYear],$K$1)*
INDEX(Data[],MATCH($A20,Data[AEA],0),MATCH("Pay1 - Sept - May",Data[#Headers],0)),0)</f>
        <v>475369</v>
      </c>
      <c r="D20" s="19">
        <f>ROUND(SUMIFS(INDEX(PaymentBreakdown[],0,MATCH(D$14,PaymentBreakdown[#Headers],0)),PaymentBreakdown[AEA],$A20,PaymentBreakdown[FiscalYear],$K$1)/SUMIFS(INDEX(PaymentBreakdown[],0,MATCH($I$2,PaymentBreakdown[#Headers],0)),PaymentBreakdown[AEA],$A20,PaymentBreakdown[FiscalYear],$K$1)*
INDEX(Data[],MATCH($A20,Data[AEA],0),MATCH("Pay1 - Sept - May",Data[#Headers],0)),0)</f>
        <v>157897</v>
      </c>
      <c r="G20" s="60"/>
    </row>
    <row r="21" spans="1:13" x14ac:dyDescent="0.25">
      <c r="A21" s="11" t="str">
        <f t="shared" si="4"/>
        <v>12</v>
      </c>
      <c r="B21" s="11" t="str">
        <f t="shared" si="4"/>
        <v>Northwest AEA</v>
      </c>
      <c r="C21" s="22">
        <f>ROUND(SUMIFS(INDEX(PaymentBreakdown[],0,MATCH(C$14,PaymentBreakdown[#Headers],0)),PaymentBreakdown[AEA],$A21,PaymentBreakdown[FiscalYear],$K$1)/SUMIFS(INDEX(PaymentBreakdown[],0,MATCH($I$2,PaymentBreakdown[#Headers],0)),PaymentBreakdown[AEA],$A21,PaymentBreakdown[FiscalYear],$K$1)*
INDEX(Data[],MATCH($A21,Data[AEA],0),MATCH("Pay1 - Sept - May",Data[#Headers],0)),0)</f>
        <v>164287</v>
      </c>
      <c r="D21" s="19">
        <f>ROUND(SUMIFS(INDEX(PaymentBreakdown[],0,MATCH(D$14,PaymentBreakdown[#Headers],0)),PaymentBreakdown[AEA],$A21,PaymentBreakdown[FiscalYear],$K$1)/SUMIFS(INDEX(PaymentBreakdown[],0,MATCH($I$2,PaymentBreakdown[#Headers],0)),PaymentBreakdown[AEA],$A21,PaymentBreakdown[FiscalYear],$K$1)*
INDEX(Data[],MATCH($A21,Data[AEA],0),MATCH("Pay1 - Sept - May",Data[#Headers],0)),0)</f>
        <v>80587</v>
      </c>
      <c r="G21" s="60"/>
    </row>
    <row r="22" spans="1:13" x14ac:dyDescent="0.25">
      <c r="A22" s="11" t="str">
        <f t="shared" si="4"/>
        <v>13</v>
      </c>
      <c r="B22" s="11" t="str">
        <f t="shared" si="4"/>
        <v>Green Hills AEA 13</v>
      </c>
      <c r="C22" s="22">
        <f>ROUND(SUMIFS(INDEX(PaymentBreakdown[],0,MATCH(C$14,PaymentBreakdown[#Headers],0)),PaymentBreakdown[AEA],$A22,PaymentBreakdown[FiscalYear],$K$1)/SUMIFS(INDEX(PaymentBreakdown[],0,MATCH($I$2,PaymentBreakdown[#Headers],0)),PaymentBreakdown[AEA],$A22,PaymentBreakdown[FiscalYear],$K$1)*
INDEX(Data[],MATCH($A22,Data[AEA],0),MATCH("Pay1 - Sept - May",Data[#Headers],0)),0)</f>
        <v>154320</v>
      </c>
      <c r="D22" s="19">
        <f>ROUND(SUMIFS(INDEX(PaymentBreakdown[],0,MATCH(D$14,PaymentBreakdown[#Headers],0)),PaymentBreakdown[AEA],$A22,PaymentBreakdown[FiscalYear],$K$1)/SUMIFS(INDEX(PaymentBreakdown[],0,MATCH($I$2,PaymentBreakdown[#Headers],0)),PaymentBreakdown[AEA],$A22,PaymentBreakdown[FiscalYear],$K$1)*
INDEX(Data[],MATCH($A22,Data[AEA],0),MATCH("Pay1 - Sept - May",Data[#Headers],0)),0)</f>
        <v>17407</v>
      </c>
      <c r="G22" s="60"/>
    </row>
    <row r="23" spans="1:13" x14ac:dyDescent="0.25">
      <c r="A23" s="11" t="str">
        <f t="shared" si="4"/>
        <v>15</v>
      </c>
      <c r="B23" s="11" t="str">
        <f t="shared" si="4"/>
        <v>Great Prairie AEA 15</v>
      </c>
      <c r="C23" s="22">
        <f>ROUND(SUMIFS(INDEX(PaymentBreakdown[],0,MATCH(C$14,PaymentBreakdown[#Headers],0)),PaymentBreakdown[AEA],$A23,PaymentBreakdown[FiscalYear],$K$1)/SUMIFS(INDEX(PaymentBreakdown[],0,MATCH($I$2,PaymentBreakdown[#Headers],0)),PaymentBreakdown[AEA],$A23,PaymentBreakdown[FiscalYear],$K$1)*
INDEX(Data[],MATCH($A23,Data[AEA],0),MATCH("Pay1 - Sept - May",Data[#Headers],0)),0)</f>
        <v>135149</v>
      </c>
      <c r="D23" s="19">
        <f>ROUND(SUMIFS(INDEX(PaymentBreakdown[],0,MATCH(D$14,PaymentBreakdown[#Headers],0)),PaymentBreakdown[AEA],$A23,PaymentBreakdown[FiscalYear],$K$1)/SUMIFS(INDEX(PaymentBreakdown[],0,MATCH($I$2,PaymentBreakdown[#Headers],0)),PaymentBreakdown[AEA],$A23,PaymentBreakdown[FiscalYear],$K$1)*
INDEX(Data[],MATCH($A23,Data[AEA],0),MATCH("Pay1 - Sept - May",Data[#Headers],0)),0)</f>
        <v>20660</v>
      </c>
      <c r="G23" s="60"/>
      <c r="K23" t="s">
        <v>772</v>
      </c>
    </row>
    <row r="24" spans="1:13" ht="15.75" thickBot="1" x14ac:dyDescent="0.3">
      <c r="C24" s="37">
        <f>SUM(C15:C23)</f>
        <v>1904922</v>
      </c>
      <c r="D24" s="20">
        <f>SUM(D15:D23)</f>
        <v>543722</v>
      </c>
      <c r="G24" s="61"/>
      <c r="K24" s="69" t="s">
        <v>771</v>
      </c>
      <c r="L24" s="71" t="s">
        <v>78</v>
      </c>
    </row>
    <row r="25" spans="1:13" ht="15.75" thickTop="1" x14ac:dyDescent="0.25">
      <c r="K25" s="69"/>
      <c r="L25" s="71"/>
    </row>
    <row r="26" spans="1:13" x14ac:dyDescent="0.25">
      <c r="H26" s="6"/>
      <c r="K26" s="70"/>
      <c r="L26" s="72"/>
      <c r="M26" t="s">
        <v>776</v>
      </c>
    </row>
    <row r="27" spans="1:13" x14ac:dyDescent="0.25">
      <c r="J27" s="11" t="str">
        <f>B3</f>
        <v>Keystone AEA 1</v>
      </c>
      <c r="K27" s="6">
        <f>C3+F3-C15</f>
        <v>0</v>
      </c>
      <c r="L27" s="6">
        <f>D3+G3+H3-D15</f>
        <v>0</v>
      </c>
      <c r="M27" s="6">
        <f>I3-D15-C15</f>
        <v>0</v>
      </c>
    </row>
    <row r="28" spans="1:13" x14ac:dyDescent="0.25">
      <c r="J28" s="11" t="str">
        <f t="shared" ref="J28:J35" si="5">B4</f>
        <v>Prairie Lakes AEA 8</v>
      </c>
      <c r="K28" s="6">
        <f t="shared" ref="K28:K35" si="6">C4+F4-C16</f>
        <v>0</v>
      </c>
      <c r="L28" s="6">
        <f t="shared" ref="L28:L35" si="7">D4+G4+H4-D16</f>
        <v>0</v>
      </c>
      <c r="M28" s="6">
        <f t="shared" ref="M28:M35" si="8">I4-D16-C16</f>
        <v>0</v>
      </c>
    </row>
    <row r="29" spans="1:13" x14ac:dyDescent="0.25">
      <c r="J29" s="11" t="str">
        <f t="shared" si="5"/>
        <v>Central Rivers</v>
      </c>
      <c r="K29" s="6">
        <f t="shared" si="6"/>
        <v>0</v>
      </c>
      <c r="L29" s="6">
        <f t="shared" si="7"/>
        <v>0</v>
      </c>
      <c r="M29" s="6">
        <f t="shared" si="8"/>
        <v>0</v>
      </c>
    </row>
    <row r="30" spans="1:13" x14ac:dyDescent="0.25">
      <c r="J30" s="11" t="str">
        <f t="shared" si="5"/>
        <v>Mississippi Bend AEA 9</v>
      </c>
      <c r="K30" s="6">
        <f t="shared" si="6"/>
        <v>0</v>
      </c>
      <c r="L30" s="6">
        <f t="shared" si="7"/>
        <v>0</v>
      </c>
      <c r="M30" s="6">
        <f t="shared" si="8"/>
        <v>0</v>
      </c>
    </row>
    <row r="31" spans="1:13" x14ac:dyDescent="0.25">
      <c r="J31" s="11" t="str">
        <f t="shared" si="5"/>
        <v>Grant Wood AEA 10</v>
      </c>
      <c r="K31" s="6">
        <f t="shared" si="6"/>
        <v>0</v>
      </c>
      <c r="L31" s="6">
        <f t="shared" si="7"/>
        <v>0</v>
      </c>
      <c r="M31" s="6">
        <f t="shared" si="8"/>
        <v>0</v>
      </c>
    </row>
    <row r="32" spans="1:13" x14ac:dyDescent="0.25">
      <c r="J32" s="11" t="str">
        <f t="shared" si="5"/>
        <v>Heartland AEA 11</v>
      </c>
      <c r="K32" s="6">
        <f t="shared" si="6"/>
        <v>0</v>
      </c>
      <c r="L32" s="6">
        <f t="shared" si="7"/>
        <v>0</v>
      </c>
      <c r="M32" s="6">
        <f t="shared" si="8"/>
        <v>0</v>
      </c>
    </row>
    <row r="33" spans="10:13" x14ac:dyDescent="0.25">
      <c r="J33" s="11" t="str">
        <f t="shared" si="5"/>
        <v>Northwest AEA</v>
      </c>
      <c r="K33" s="6">
        <f t="shared" si="6"/>
        <v>0</v>
      </c>
      <c r="L33" s="6">
        <f t="shared" si="7"/>
        <v>0</v>
      </c>
      <c r="M33" s="6">
        <f t="shared" si="8"/>
        <v>0</v>
      </c>
    </row>
    <row r="34" spans="10:13" x14ac:dyDescent="0.25">
      <c r="J34" s="11" t="str">
        <f t="shared" si="5"/>
        <v>Green Hills AEA 13</v>
      </c>
      <c r="K34" s="6">
        <f t="shared" si="6"/>
        <v>0</v>
      </c>
      <c r="L34" s="6">
        <f t="shared" si="7"/>
        <v>0</v>
      </c>
      <c r="M34" s="6">
        <f t="shared" si="8"/>
        <v>0</v>
      </c>
    </row>
    <row r="35" spans="10:13" x14ac:dyDescent="0.25">
      <c r="J35" s="11" t="str">
        <f t="shared" si="5"/>
        <v>Great Prairie AEA 15</v>
      </c>
      <c r="K35" s="6">
        <f t="shared" si="6"/>
        <v>0</v>
      </c>
      <c r="L35" s="6">
        <f t="shared" si="7"/>
        <v>0</v>
      </c>
      <c r="M35" s="6">
        <f t="shared" si="8"/>
        <v>0</v>
      </c>
    </row>
  </sheetData>
  <sheetProtection sheet="1" objects="1" scenarios="1"/>
  <mergeCells count="5">
    <mergeCell ref="A1:I1"/>
    <mergeCell ref="F16:F17"/>
    <mergeCell ref="F18:F19"/>
    <mergeCell ref="K24:K26"/>
    <mergeCell ref="L24:L26"/>
  </mergeCells>
  <pageMargins left="0.25" right="0.25" top="0.75" bottom="0.75" header="0.3" footer="0.3"/>
  <pageSetup scale="77" orientation="landscape" r:id="rId1"/>
  <headerFooter>
    <oddFooter>&amp;LDepartment of Management&amp;R&amp;D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E44A1-1AF5-4A04-8693-EAE87F2A146B}">
  <sheetPr>
    <tabColor theme="6" tint="-0.249977111117893"/>
    <pageSetUpPr fitToPage="1"/>
  </sheetPr>
  <dimension ref="A1:M39"/>
  <sheetViews>
    <sheetView zoomScale="90" zoomScaleNormal="90" workbookViewId="0">
      <selection sqref="A1:I1"/>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customWidth="1"/>
    <col min="11" max="11" width="12" customWidth="1"/>
    <col min="12" max="12" width="38" customWidth="1"/>
    <col min="13" max="13" width="36.85546875" customWidth="1"/>
    <col min="14" max="14" width="9.140625" customWidth="1"/>
  </cols>
  <sheetData>
    <row r="1" spans="1:11" ht="45" customHeight="1" x14ac:dyDescent="0.25">
      <c r="A1" s="66" t="str">
        <f>_xlfn.CONCAT("FY ",K2," AEA Enrollments and Cost - Final - State Aid and Property Tax Breakdown - September thru May Payment")</f>
        <v>FY 2026 AEA Enrollments and Cost - Final - State Aid and Property Tax Breakdown - September thru May Payment</v>
      </c>
      <c r="B1" s="66"/>
      <c r="C1" s="66"/>
      <c r="D1" s="66"/>
      <c r="E1" s="66"/>
      <c r="F1" s="66"/>
      <c r="G1" s="66"/>
      <c r="H1" s="66"/>
      <c r="I1" s="66"/>
    </row>
    <row r="2" spans="1:11" s="10" customFormat="1" ht="45" x14ac:dyDescent="0.25">
      <c r="A2" s="7" t="s">
        <v>46</v>
      </c>
      <c r="B2" s="7" t="s">
        <v>47</v>
      </c>
      <c r="C2" s="8" t="str">
        <f>Data_Detail_OLD[[#Headers],[AEA Special Ed Support District Cost Formula Generated]]</f>
        <v>AEA Special Ed Support District Cost Formula Generated</v>
      </c>
      <c r="D2" s="8" t="str">
        <f>Data_Detail_OLD[[#Headers],[State Aid Portion Special Ed]]</f>
        <v>State Aid Portion Special Ed</v>
      </c>
      <c r="E2" s="8" t="str">
        <f>Data_Detail_OLD[[#Headers],[AEA Statewide State Aid Reduction]]</f>
        <v>AEA Statewide State Aid Reduction</v>
      </c>
      <c r="F2" s="21" t="str">
        <f>Data_Detail_OLD[[#Headers],[State Aid Special Ed Minus Reduction]]</f>
        <v>State Aid Special Ed Minus Reduction</v>
      </c>
      <c r="G2" s="9" t="str">
        <f>Data_Detail_OLD[[#Headers],[Special Education Property Tax Portion]]</f>
        <v>Special Education Property Tax Portion</v>
      </c>
      <c r="H2" s="9" t="str">
        <f>Data_Detail_OLD[[#Headers],[AEA Special Ed Support Adjustment]]</f>
        <v>AEA Special Ed Support Adjustment</v>
      </c>
      <c r="I2" s="8" t="str">
        <f>Data_Detail_OLD[[#Headers],[Total Special Ed Funding Removing Reduction Including Adjustment]]</f>
        <v>Total Special Ed Funding Removing Reduction Including Adjustment</v>
      </c>
      <c r="K2" s="10">
        <f>Notes!B1</f>
        <v>2026</v>
      </c>
    </row>
    <row r="3" spans="1:11" x14ac:dyDescent="0.25">
      <c r="A3" s="18" t="str">
        <f>Data!A2</f>
        <v>01</v>
      </c>
      <c r="B3" s="11" t="str">
        <f>INDEX(Data_Detail_OLD[],MATCH('PaymentCodingDetai_Sept-May-old'!$A3,Data_Detail_OLD[AEA],0),3)</f>
        <v>Keystone AEA 1</v>
      </c>
      <c r="C3" s="12">
        <f>ROUND(SUMIFS(INDEX(Data_Detail_OLD[],0,MATCH(C$2,Data_Detail_OLD[#Headers],0)),Data_Detail_OLD[AEA],$A3,Data_Detail_OLD[FiscalYear],$K$2)/SUMIFS(INDEX(Data_Detail_OLD[],0,MATCH($E$26,Data_Detail_OLD[#Headers],0)),Data_Detail_OLD[AEA],$A3,Data_Detail_OLD[FiscalYear],$K$2)*
INDEX(Data[],MATCH($A3,Data[AEA],0),MATCH("Pay1 - Sept - May",Data[#Headers],0)),0)</f>
        <v>131641</v>
      </c>
      <c r="D3" s="12">
        <f>ROUND(SUMIFS(INDEX(Data_Detail_OLD[],0,MATCH(D$2,Data_Detail_OLD[#Headers],0)),Data_Detail_OLD[AEA],$A3,Data_Detail_OLD[FiscalYear],$K$2)/SUMIFS(INDEX(Data_Detail_OLD[],0,MATCH($E$26,Data_Detail_OLD[#Headers],0)),Data_Detail_OLD[AEA],$A3,Data_Detail_OLD[FiscalYear],$K$2)*
INDEX(Data[],MATCH($A3,Data[AEA],0),MATCH("Pay1 - Sept - May",Data[#Headers],0)),0)+1</f>
        <v>100004</v>
      </c>
      <c r="E3" s="12">
        <f>ROUND(SUMIFS(INDEX(Data_Detail_OLD[],0,MATCH(E$2,Data_Detail_OLD[#Headers],0)),Data_Detail_OLD[AEA],$A3,Data_Detail_OLD[FiscalYear],$K$2)/SUMIFS(INDEX(Data_Detail_OLD[],0,MATCH($E$26,Data_Detail_OLD[#Headers],0)),Data_Detail_OLD[AEA],$A3,Data_Detail_OLD[FiscalYear],$K$2)*
INDEX(Data[],MATCH($A3,Data[AEA],0),MATCH("PAY1 - Sept - May",Data[#Headers],0)),0)</f>
        <v>21419</v>
      </c>
      <c r="F3" s="48">
        <f>D3-E3</f>
        <v>78585</v>
      </c>
      <c r="G3" s="19">
        <f>ROUND(SUMIFS(INDEX(Data_Detail_OLD[],0,MATCH(G$2,Data_Detail_OLD[#Headers],0)),Data_Detail_OLD[AEA],$A3,Data_Detail_OLD[FiscalYear],$K$2)/SUMIFS(INDEX(Data_Detail_OLD[],0,MATCH($E$26,Data_Detail_OLD[#Headers],0)),Data_Detail_OLD[AEA],$A3,Data_Detail_OLD[FiscalYear],$K$2)*
INDEX(Data[],MATCH($A3,Data[AEA],0),MATCH("Pay1 - Sept - May",Data[#Headers],0)),0)</f>
        <v>31639</v>
      </c>
      <c r="H3" s="19">
        <f>ROUND(SUMIFS(INDEX(Data_Detail_OLD[],0,MATCH(H$2,Data_Detail_OLD[#Headers],0)),Data_Detail_OLD[AEA],$A3,Data_Detail_OLD[FiscalYear],$K$2)/SUMIFS(INDEX(Data_Detail_OLD[],0,MATCH($E$26,Data_Detail_OLD[#Headers],0)),Data_Detail_OLD[AEA],$A3,Data_Detail_OLD[FiscalYear],$K$2)*
INDEX(Data[],MATCH($A3,Data[AEA],0),MATCH("Pay1 - Sept - May",Data[#Headers],0)),0)</f>
        <v>535</v>
      </c>
      <c r="I3" s="47">
        <f>SUM(F3:H3)</f>
        <v>110759</v>
      </c>
      <c r="K3" s="6">
        <f>G12+D24+H12+C36+D36-G36</f>
        <v>0</v>
      </c>
    </row>
    <row r="4" spans="1:11" x14ac:dyDescent="0.25">
      <c r="A4" s="18" t="str">
        <f>Data!A3</f>
        <v>05</v>
      </c>
      <c r="B4" s="11" t="str">
        <f>INDEX(Data_Detail_OLD[],MATCH('PaymentCodingDetai_Sept-May-old'!$A4,Data_Detail_OLD[AEA],0),3)</f>
        <v>Prairie Lakes AEA 8</v>
      </c>
      <c r="C4" s="12">
        <f>ROUND(SUMIFS(INDEX(Data_Detail_OLD[],0,MATCH(C$2,Data_Detail_OLD[#Headers],0)),Data_Detail_OLD[AEA],$A4,Data_Detail_OLD[FiscalYear],$K$2)/SUMIFS(INDEX(Data_Detail_OLD[],0,MATCH($E$26,Data_Detail_OLD[#Headers],0)),Data_Detail_OLD[AEA],$A4,Data_Detail_OLD[FiscalYear],$K$2)*
INDEX(Data[],MATCH($A4,Data[AEA],0),MATCH("Pay1 - Sept - May",Data[#Headers],0)),0)</f>
        <v>120433</v>
      </c>
      <c r="D4" s="12">
        <f>ROUND(SUMIFS(INDEX(Data_Detail_OLD[],0,MATCH(D$2,Data_Detail_OLD[#Headers],0)),Data_Detail_OLD[AEA],$A4,Data_Detail_OLD[FiscalYear],$K$2)/SUMIFS(INDEX(Data_Detail_OLD[],0,MATCH($E$26,Data_Detail_OLD[#Headers],0)),Data_Detail_OLD[AEA],$A4,Data_Detail_OLD[FiscalYear],$K$2)*
INDEX(Data[],MATCH($A4,Data[AEA],0),MATCH("Pay1 - Sept - May",Data[#Headers],0)),0)-1</f>
        <v>92570</v>
      </c>
      <c r="E4" s="12">
        <f>ROUND(SUMIFS(INDEX(Data_Detail_OLD[],0,MATCH(E$2,Data_Detail_OLD[#Headers],0)),Data_Detail_OLD[AEA],$A4,Data_Detail_OLD[FiscalYear],$K$2)/SUMIFS(INDEX(Data_Detail_OLD[],0,MATCH($E$26,Data_Detail_OLD[#Headers],0)),Data_Detail_OLD[AEA],$A4,Data_Detail_OLD[FiscalYear],$K$2)*
INDEX(Data[],MATCH($A4,Data[AEA],0),MATCH("Pay1 - Sept - May",Data[#Headers],0)),0)</f>
        <v>19827</v>
      </c>
      <c r="F4" s="48">
        <f t="shared" ref="F4:F11" si="0">D4-E4</f>
        <v>72743</v>
      </c>
      <c r="G4" s="19">
        <f>ROUND(SUMIFS(INDEX(Data_Detail_OLD[],0,MATCH(G$2,Data_Detail_OLD[#Headers],0)),Data_Detail_OLD[AEA],$A4,Data_Detail_OLD[FiscalYear],$K$2)/SUMIFS(INDEX(Data_Detail_OLD[],0,MATCH($E$26,Data_Detail_OLD[#Headers],0)),Data_Detail_OLD[AEA],$A4,Data_Detail_OLD[FiscalYear],$K$2)*
INDEX(Data[],MATCH($A4,Data[AEA],0),MATCH("Pay1 - Sept - May",Data[#Headers],0)),0)</f>
        <v>27862</v>
      </c>
      <c r="H4" s="19">
        <f>ROUND(SUMIFS(INDEX(Data_Detail_OLD[],0,MATCH(H$2,Data_Detail_OLD[#Headers],0)),Data_Detail_OLD[AEA],$A4,Data_Detail_OLD[FiscalYear],$K$2)/SUMIFS(INDEX(Data_Detail_OLD[],0,MATCH($E$26,Data_Detail_OLD[#Headers],0)),Data_Detail_OLD[AEA],$A4,Data_Detail_OLD[FiscalYear],$K$2)*
INDEX(Data[],MATCH($A4,Data[AEA],0),MATCH("Pay1 - Sept - May",Data[#Headers],0)),0)</f>
        <v>1685</v>
      </c>
      <c r="I4" s="47">
        <f t="shared" ref="I4:I11" si="1">SUM(F4:H4)</f>
        <v>102290</v>
      </c>
      <c r="K4" s="6">
        <f>F12+C24+F24+G24-F36</f>
        <v>0</v>
      </c>
    </row>
    <row r="5" spans="1:11" x14ac:dyDescent="0.25">
      <c r="A5" s="18" t="str">
        <f>Data!A4</f>
        <v>07</v>
      </c>
      <c r="B5" s="11" t="str">
        <f>INDEX(Data_Detail_OLD[],MATCH('PaymentCodingDetai_Sept-May-old'!$A5,Data_Detail_OLD[AEA],0),3)</f>
        <v>Central Rivers</v>
      </c>
      <c r="C5" s="12">
        <f>ROUND(SUMIFS(INDEX(Data_Detail_OLD[],0,MATCH(C$2,Data_Detail_OLD[#Headers],0)),Data_Detail_OLD[AEA],$A5,Data_Detail_OLD[FiscalYear],$K$2)/SUMIFS(INDEX(Data_Detail_OLD[],0,MATCH($E$26,Data_Detail_OLD[#Headers],0)),Data_Detail_OLD[AEA],$A5,Data_Detail_OLD[FiscalYear],$K$2)*
INDEX(Data[],MATCH($A5,Data[AEA],0),MATCH("Pay1 - Sept - May",Data[#Headers],0)),0)</f>
        <v>271384</v>
      </c>
      <c r="D5" s="12">
        <f>ROUND(SUMIFS(INDEX(Data_Detail_OLD[],0,MATCH(D$2,Data_Detail_OLD[#Headers],0)),Data_Detail_OLD[AEA],$A5,Data_Detail_OLD[FiscalYear],$K$2)/SUMIFS(INDEX(Data_Detail_OLD[],0,MATCH($E$26,Data_Detail_OLD[#Headers],0)),Data_Detail_OLD[AEA],$A5,Data_Detail_OLD[FiscalYear],$K$2)*
INDEX(Data[],MATCH($A5,Data[AEA],0),MATCH("Pay1 - Sept - May",Data[#Headers],0)),0)</f>
        <v>212524</v>
      </c>
      <c r="E5" s="12">
        <f>ROUND(SUMIFS(INDEX(Data_Detail_OLD[],0,MATCH(E$2,Data_Detail_OLD[#Headers],0)),Data_Detail_OLD[AEA],$A5,Data_Detail_OLD[FiscalYear],$K$2)/SUMIFS(INDEX(Data_Detail_OLD[],0,MATCH($E$26,Data_Detail_OLD[#Headers],0)),Data_Detail_OLD[AEA],$A5,Data_Detail_OLD[FiscalYear],$K$2)*
INDEX(Data[],MATCH($A5,Data[AEA],0),MATCH("Pay1 - Sept - May",Data[#Headers],0)),0)</f>
        <v>45519</v>
      </c>
      <c r="F5" s="48">
        <f t="shared" si="0"/>
        <v>167005</v>
      </c>
      <c r="G5" s="19">
        <f>ROUND(SUMIFS(INDEX(Data_Detail_OLD[],0,MATCH(G$2,Data_Detail_OLD[#Headers],0)),Data_Detail_OLD[AEA],$A5,Data_Detail_OLD[FiscalYear],$K$2)/SUMIFS(INDEX(Data_Detail_OLD[],0,MATCH($E$26,Data_Detail_OLD[#Headers],0)),Data_Detail_OLD[AEA],$A5,Data_Detail_OLD[FiscalYear],$K$2)*
INDEX(Data[],MATCH($A5,Data[AEA],0),MATCH("Pay1 - Sept - May",Data[#Headers],0)),0)</f>
        <v>58860</v>
      </c>
      <c r="H5" s="19">
        <f>ROUND(SUMIFS(INDEX(Data_Detail_OLD[],0,MATCH(H$2,Data_Detail_OLD[#Headers],0)),Data_Detail_OLD[AEA],$A5,Data_Detail_OLD[FiscalYear],$K$2)/SUMIFS(INDEX(Data_Detail_OLD[],0,MATCH($E$26,Data_Detail_OLD[#Headers],0)),Data_Detail_OLD[AEA],$A5,Data_Detail_OLD[FiscalYear],$K$2)*
INDEX(Data[],MATCH($A5,Data[AEA],0),MATCH("Pay1 - Sept - May",Data[#Headers],0)),0)</f>
        <v>2284</v>
      </c>
      <c r="I5" s="47">
        <f t="shared" si="1"/>
        <v>228149</v>
      </c>
      <c r="K5" s="6">
        <f>F12+E12-D12</f>
        <v>0</v>
      </c>
    </row>
    <row r="6" spans="1:11" x14ac:dyDescent="0.25">
      <c r="A6" s="18" t="str">
        <f>Data!A5</f>
        <v>09</v>
      </c>
      <c r="B6" s="11" t="str">
        <f>INDEX(Data_Detail_OLD[],MATCH('PaymentCodingDetai_Sept-May-old'!$A6,Data_Detail_OLD[AEA],0),3)</f>
        <v>Mississippi Bend AEA 9</v>
      </c>
      <c r="C6" s="12">
        <f>ROUND(SUMIFS(INDEX(Data_Detail_OLD[],0,MATCH(C$2,Data_Detail_OLD[#Headers],0)),Data_Detail_OLD[AEA],$A6,Data_Detail_OLD[FiscalYear],$K$2)/SUMIFS(INDEX(Data_Detail_OLD[],0,MATCH($E$26,Data_Detail_OLD[#Headers],0)),Data_Detail_OLD[AEA],$A6,Data_Detail_OLD[FiscalYear],$K$2)*
INDEX(Data[],MATCH($A6,Data[AEA],0),MATCH("Pay1 - Sept - May",Data[#Headers],0)),0)</f>
        <v>168240</v>
      </c>
      <c r="D6" s="12">
        <f>ROUND(SUMIFS(INDEX(Data_Detail_OLD[],0,MATCH(D$2,Data_Detail_OLD[#Headers],0)),Data_Detail_OLD[AEA],$A6,Data_Detail_OLD[FiscalYear],$K$2)/SUMIFS(INDEX(Data_Detail_OLD[],0,MATCH($E$26,Data_Detail_OLD[#Headers],0)),Data_Detail_OLD[AEA],$A6,Data_Detail_OLD[FiscalYear],$K$2)*
INDEX(Data[],MATCH($A6,Data[AEA],0),MATCH("Pay1 - Sept - May",Data[#Headers],0)),0)+1</f>
        <v>132640</v>
      </c>
      <c r="E6" s="12">
        <f>ROUND(SUMIFS(INDEX(Data_Detail_OLD[],0,MATCH(E$2,Data_Detail_OLD[#Headers],0)),Data_Detail_OLD[AEA],$A6,Data_Detail_OLD[FiscalYear],$K$2)/SUMIFS(INDEX(Data_Detail_OLD[],0,MATCH($E$26,Data_Detail_OLD[#Headers],0)),Data_Detail_OLD[AEA],$A6,Data_Detail_OLD[FiscalYear],$K$2)*
INDEX(Data[],MATCH($A6,Data[AEA],0),MATCH("Pay1 - Sept - May",Data[#Headers],0)),0)</f>
        <v>28409</v>
      </c>
      <c r="F6" s="48">
        <f t="shared" si="0"/>
        <v>104231</v>
      </c>
      <c r="G6" s="19">
        <f>ROUND(SUMIFS(INDEX(Data_Detail_OLD[],0,MATCH(G$2,Data_Detail_OLD[#Headers],0)),Data_Detail_OLD[AEA],$A6,Data_Detail_OLD[FiscalYear],$K$2)/SUMIFS(INDEX(Data_Detail_OLD[],0,MATCH($E$26,Data_Detail_OLD[#Headers],0)),Data_Detail_OLD[AEA],$A6,Data_Detail_OLD[FiscalYear],$K$2)*
INDEX(Data[],MATCH($A6,Data[AEA],0),MATCH("Pay1 - Sept - May",Data[#Headers],0)),0)</f>
        <v>35601</v>
      </c>
      <c r="H6" s="19">
        <f>ROUND(SUMIFS(INDEX(Data_Detail_OLD[],0,MATCH(H$2,Data_Detail_OLD[#Headers],0)),Data_Detail_OLD[AEA],$A6,Data_Detail_OLD[FiscalYear],$K$2)/SUMIFS(INDEX(Data_Detail_OLD[],0,MATCH($E$26,Data_Detail_OLD[#Headers],0)),Data_Detail_OLD[AEA],$A6,Data_Detail_OLD[FiscalYear],$K$2)*
INDEX(Data[],MATCH($A6,Data[AEA],0),MATCH("Pay1 - Sept - May",Data[#Headers],0)),0)</f>
        <v>802</v>
      </c>
      <c r="I6" s="47">
        <f t="shared" si="1"/>
        <v>140634</v>
      </c>
      <c r="K6" s="6">
        <f>H12+G12+F12-I12</f>
        <v>0</v>
      </c>
    </row>
    <row r="7" spans="1:11" x14ac:dyDescent="0.25">
      <c r="A7" s="18" t="str">
        <f>Data!A6</f>
        <v>10</v>
      </c>
      <c r="B7" s="11" t="str">
        <f>INDEX(Data_Detail_OLD[],MATCH('PaymentCodingDetai_Sept-May-old'!$A7,Data_Detail_OLD[AEA],0),3)</f>
        <v>Grant Wood AEA 10</v>
      </c>
      <c r="C7" s="12">
        <f>ROUND(SUMIFS(INDEX(Data_Detail_OLD[],0,MATCH(C$2,Data_Detail_OLD[#Headers],0)),Data_Detail_OLD[AEA],$A7,Data_Detail_OLD[FiscalYear],$K$2)/SUMIFS(INDEX(Data_Detail_OLD[],0,MATCH($E$26,Data_Detail_OLD[#Headers],0)),Data_Detail_OLD[AEA],$A7,Data_Detail_OLD[FiscalYear],$K$2)*
INDEX(Data[],MATCH($A7,Data[AEA],0),MATCH("Pay1 - Sept - May",Data[#Headers],0)),0)</f>
        <v>254172</v>
      </c>
      <c r="D7" s="12">
        <f>ROUND(SUMIFS(INDEX(Data_Detail_OLD[],0,MATCH(D$2,Data_Detail_OLD[#Headers],0)),Data_Detail_OLD[AEA],$A7,Data_Detail_OLD[FiscalYear],$K$2)/SUMIFS(INDEX(Data_Detail_OLD[],0,MATCH($E$26,Data_Detail_OLD[#Headers],0)),Data_Detail_OLD[AEA],$A7,Data_Detail_OLD[FiscalYear],$K$2)*
INDEX(Data[],MATCH($A7,Data[AEA],0),MATCH("Pay1 - Sept - May",Data[#Headers],0)),0)</f>
        <v>201492</v>
      </c>
      <c r="E7" s="12">
        <f>ROUND(SUMIFS(INDEX(Data_Detail_OLD[],0,MATCH(E$2,Data_Detail_OLD[#Headers],0)),Data_Detail_OLD[AEA],$A7,Data_Detail_OLD[FiscalYear],$K$2)/SUMIFS(INDEX(Data_Detail_OLD[],0,MATCH($E$26,Data_Detail_OLD[#Headers],0)),Data_Detail_OLD[AEA],$A7,Data_Detail_OLD[FiscalYear],$K$2)*
INDEX(Data[],MATCH($A7,Data[AEA],0),MATCH("Pay1 - Sept - May",Data[#Headers],0)),0)</f>
        <v>43156</v>
      </c>
      <c r="F7" s="48">
        <f t="shared" si="0"/>
        <v>158336</v>
      </c>
      <c r="G7" s="19">
        <f>ROUND(SUMIFS(INDEX(Data_Detail_OLD[],0,MATCH(G$2,Data_Detail_OLD[#Headers],0)),Data_Detail_OLD[AEA],$A7,Data_Detail_OLD[FiscalYear],$K$2)/SUMIFS(INDEX(Data_Detail_OLD[],0,MATCH($E$26,Data_Detail_OLD[#Headers],0)),Data_Detail_OLD[AEA],$A7,Data_Detail_OLD[FiscalYear],$K$2)*
INDEX(Data[],MATCH($A7,Data[AEA],0),MATCH("Pay1 - Sept - May",Data[#Headers],0)),0)</f>
        <v>52680</v>
      </c>
      <c r="H7" s="19">
        <f>ROUND(SUMIFS(INDEX(Data_Detail_OLD[],0,MATCH(H$2,Data_Detail_OLD[#Headers],0)),Data_Detail_OLD[AEA],$A7,Data_Detail_OLD[FiscalYear],$K$2)/SUMIFS(INDEX(Data_Detail_OLD[],0,MATCH($E$26,Data_Detail_OLD[#Headers],0)),Data_Detail_OLD[AEA],$A7,Data_Detail_OLD[FiscalYear],$K$2)*
INDEX(Data[],MATCH($A7,Data[AEA],0),MATCH("Pay1 - Sept - May",Data[#Headers],0)),0)</f>
        <v>1321</v>
      </c>
      <c r="I7" s="47">
        <f t="shared" si="1"/>
        <v>212337</v>
      </c>
      <c r="K7" s="6">
        <f>C24+D24-E24</f>
        <v>0</v>
      </c>
    </row>
    <row r="8" spans="1:11" x14ac:dyDescent="0.25">
      <c r="A8" s="18" t="str">
        <f>Data!A7</f>
        <v>11</v>
      </c>
      <c r="B8" s="11" t="str">
        <f>INDEX(Data_Detail_OLD[],MATCH('PaymentCodingDetai_Sept-May-old'!$A8,Data_Detail_OLD[AEA],0),3)</f>
        <v>Heartland AEA 11</v>
      </c>
      <c r="C8" s="12">
        <f>ROUND(SUMIFS(INDEX(Data_Detail_OLD[],0,MATCH(C$2,Data_Detail_OLD[#Headers],0)),Data_Detail_OLD[AEA],$A8,Data_Detail_OLD[FiscalYear],$K$2)/SUMIFS(INDEX(Data_Detail_OLD[],0,MATCH($E$26,Data_Detail_OLD[#Headers],0)),Data_Detail_OLD[AEA],$A8,Data_Detail_OLD[FiscalYear],$K$2)*
INDEX(Data[],MATCH($A8,Data[AEA],0),MATCH("Pay1 - Sept - May",Data[#Headers],0)),0)</f>
        <v>489335</v>
      </c>
      <c r="D8" s="12">
        <f>ROUND(SUMIFS(INDEX(Data_Detail_OLD[],0,MATCH(D$2,Data_Detail_OLD[#Headers],0)),Data_Detail_OLD[AEA],$A8,Data_Detail_OLD[FiscalYear],$K$2)/SUMIFS(INDEX(Data_Detail_OLD[],0,MATCH($E$26,Data_Detail_OLD[#Headers],0)),Data_Detail_OLD[AEA],$A8,Data_Detail_OLD[FiscalYear],$K$2)*
INDEX(Data[],MATCH($A8,Data[AEA],0),MATCH("Pay1 - Sept - May",Data[#Headers],0)),0)-1</f>
        <v>395989</v>
      </c>
      <c r="E8" s="12">
        <f>ROUND(SUMIFS(INDEX(Data_Detail_OLD[],0,MATCH(E$2,Data_Detail_OLD[#Headers],0)),Data_Detail_OLD[AEA],$A8,Data_Detail_OLD[FiscalYear],$K$2)/SUMIFS(INDEX(Data_Detail_OLD[],0,MATCH($E$26,Data_Detail_OLD[#Headers],0)),Data_Detail_OLD[AEA],$A8,Data_Detail_OLD[FiscalYear],$K$2)*
INDEX(Data[],MATCH($A8,Data[AEA],0),MATCH("Pay1 - Sept - May",Data[#Headers],0)),0)</f>
        <v>84815</v>
      </c>
      <c r="F8" s="48">
        <f t="shared" si="0"/>
        <v>311174</v>
      </c>
      <c r="G8" s="19">
        <f>ROUND(SUMIFS(INDEX(Data_Detail_OLD[],0,MATCH(G$2,Data_Detail_OLD[#Headers],0)),Data_Detail_OLD[AEA],$A8,Data_Detail_OLD[FiscalYear],$K$2)/SUMIFS(INDEX(Data_Detail_OLD[],0,MATCH($E$26,Data_Detail_OLD[#Headers],0)),Data_Detail_OLD[AEA],$A8,Data_Detail_OLD[FiscalYear],$K$2)*
INDEX(Data[],MATCH($A8,Data[AEA],0),MATCH("Pay1 - Sept - May",Data[#Headers],0)),0)</f>
        <v>93345</v>
      </c>
      <c r="H8" s="19">
        <f>ROUND(SUMIFS(INDEX(Data_Detail_OLD[],0,MATCH(H$2,Data_Detail_OLD[#Headers],0)),Data_Detail_OLD[AEA],$A8,Data_Detail_OLD[FiscalYear],$K$2)/SUMIFS(INDEX(Data_Detail_OLD[],0,MATCH($E$26,Data_Detail_OLD[#Headers],0)),Data_Detail_OLD[AEA],$A8,Data_Detail_OLD[FiscalYear],$K$2)*
INDEX(Data[],MATCH($A8,Data[AEA],0),MATCH("Pay1 - Sept - May",Data[#Headers],0)),0)</f>
        <v>1030</v>
      </c>
      <c r="I8" s="47">
        <f t="shared" si="1"/>
        <v>405549</v>
      </c>
    </row>
    <row r="9" spans="1:11" x14ac:dyDescent="0.25">
      <c r="A9" s="18" t="str">
        <f>Data!A8</f>
        <v>12</v>
      </c>
      <c r="B9" s="11" t="str">
        <f>INDEX(Data_Detail_OLD[],MATCH('PaymentCodingDetai_Sept-May-old'!$A9,Data_Detail_OLD[AEA],0),3)</f>
        <v>Northwest AEA</v>
      </c>
      <c r="C9" s="12">
        <f>ROUND(SUMIFS(INDEX(Data_Detail_OLD[],0,MATCH(C$2,Data_Detail_OLD[#Headers],0)),Data_Detail_OLD[AEA],$A9,Data_Detail_OLD[FiscalYear],$K$2)/SUMIFS(INDEX(Data_Detail_OLD[],0,MATCH($E$26,Data_Detail_OLD[#Headers],0)),Data_Detail_OLD[AEA],$A9,Data_Detail_OLD[FiscalYear],$K$2)*
INDEX(Data[],MATCH($A9,Data[AEA],0),MATCH("Pay1 - Sept - May",Data[#Headers],0)),0)</f>
        <v>183992</v>
      </c>
      <c r="D9" s="12">
        <f>ROUND(SUMIFS(INDEX(Data_Detail_OLD[],0,MATCH(D$2,Data_Detail_OLD[#Headers],0)),Data_Detail_OLD[AEA],$A9,Data_Detail_OLD[FiscalYear],$K$2)/SUMIFS(INDEX(Data_Detail_OLD[],0,MATCH($E$26,Data_Detail_OLD[#Headers],0)),Data_Detail_OLD[AEA],$A9,Data_Detail_OLD[FiscalYear],$K$2)*
INDEX(Data[],MATCH($A9,Data[AEA],0),MATCH("Pay1 - Sept - May",Data[#Headers],0)),0)+1</f>
        <v>142767</v>
      </c>
      <c r="E9" s="12">
        <f>ROUND(SUMIFS(INDEX(Data_Detail_OLD[],0,MATCH(E$2,Data_Detail_OLD[#Headers],0)),Data_Detail_OLD[AEA],$A9,Data_Detail_OLD[FiscalYear],$K$2)/SUMIFS(INDEX(Data_Detail_OLD[],0,MATCH($E$26,Data_Detail_OLD[#Headers],0)),Data_Detail_OLD[AEA],$A9,Data_Detail_OLD[FiscalYear],$K$2)*
INDEX(Data[],MATCH($A9,Data[AEA],0),MATCH("Pay1 - Sept - May",Data[#Headers],0)),0)</f>
        <v>30578</v>
      </c>
      <c r="F9" s="48">
        <f t="shared" si="0"/>
        <v>112189</v>
      </c>
      <c r="G9" s="19">
        <f>ROUND(SUMIFS(INDEX(Data_Detail_OLD[],0,MATCH(G$2,Data_Detail_OLD[#Headers],0)),Data_Detail_OLD[AEA],$A9,Data_Detail_OLD[FiscalYear],$K$2)/SUMIFS(INDEX(Data_Detail_OLD[],0,MATCH($E$26,Data_Detail_OLD[#Headers],0)),Data_Detail_OLD[AEA],$A9,Data_Detail_OLD[FiscalYear],$K$2)*
INDEX(Data[],MATCH($A9,Data[AEA],0),MATCH("Pay1 - Sept - May",Data[#Headers],0)),0)</f>
        <v>41226</v>
      </c>
      <c r="H9" s="19">
        <f>ROUND(SUMIFS(INDEX(Data_Detail_OLD[],0,MATCH(H$2,Data_Detail_OLD[#Headers],0)),Data_Detail_OLD[AEA],$A9,Data_Detail_OLD[FiscalYear],$K$2)/SUMIFS(INDEX(Data_Detail_OLD[],0,MATCH($E$26,Data_Detail_OLD[#Headers],0)),Data_Detail_OLD[AEA],$A9,Data_Detail_OLD[FiscalYear],$K$2)*
INDEX(Data[],MATCH($A9,Data[AEA],0),MATCH("Pay1 - Sept - May",Data[#Headers],0)),0)</f>
        <v>1230</v>
      </c>
      <c r="I9" s="47">
        <f t="shared" si="1"/>
        <v>154645</v>
      </c>
    </row>
    <row r="10" spans="1:11" x14ac:dyDescent="0.25">
      <c r="A10" s="18" t="str">
        <f>Data!A9</f>
        <v>13</v>
      </c>
      <c r="B10" s="11" t="str">
        <f>INDEX(Data_Detail_OLD[],MATCH('PaymentCodingDetai_Sept-May-old'!$A10,Data_Detail_OLD[AEA],0),3)</f>
        <v>Green Hills AEA 13</v>
      </c>
      <c r="C10" s="12">
        <f>ROUND(SUMIFS(INDEX(Data_Detail_OLD[],0,MATCH(C$2,Data_Detail_OLD[#Headers],0)),Data_Detail_OLD[AEA],$A10,Data_Detail_OLD[FiscalYear],$K$2)/SUMIFS(INDEX(Data_Detail_OLD[],0,MATCH($E$26,Data_Detail_OLD[#Headers],0)),Data_Detail_OLD[AEA],$A10,Data_Detail_OLD[FiscalYear],$K$2)*
INDEX(Data[],MATCH($A10,Data[AEA],0),MATCH("Pay1 - Sept - May",Data[#Headers],0)),0)</f>
        <v>132580</v>
      </c>
      <c r="D10" s="12">
        <f>ROUND(SUMIFS(INDEX(Data_Detail_OLD[],0,MATCH(D$2,Data_Detail_OLD[#Headers],0)),Data_Detail_OLD[AEA],$A10,Data_Detail_OLD[FiscalYear],$K$2)/SUMIFS(INDEX(Data_Detail_OLD[],0,MATCH($E$26,Data_Detail_OLD[#Headers],0)),Data_Detail_OLD[AEA],$A10,Data_Detail_OLD[FiscalYear],$K$2)*
INDEX(Data[],MATCH($A10,Data[AEA],0),MATCH("Pay1 - Sept - May",Data[#Headers],0)),0)</f>
        <v>104812</v>
      </c>
      <c r="E10" s="12">
        <f>ROUND(SUMIFS(INDEX(Data_Detail_OLD[],0,MATCH(E$2,Data_Detail_OLD[#Headers],0)),Data_Detail_OLD[AEA],$A10,Data_Detail_OLD[FiscalYear],$K$2)/SUMIFS(INDEX(Data_Detail_OLD[],0,MATCH($E$26,Data_Detail_OLD[#Headers],0)),Data_Detail_OLD[AEA],$A10,Data_Detail_OLD[FiscalYear],$K$2)*
INDEX(Data[],MATCH($A10,Data[AEA],0),MATCH("Pay1 - Sept - May",Data[#Headers],0)),0)</f>
        <v>22449</v>
      </c>
      <c r="F10" s="48">
        <f t="shared" si="0"/>
        <v>82363</v>
      </c>
      <c r="G10" s="19">
        <f>ROUND(SUMIFS(INDEX(Data_Detail_OLD[],0,MATCH(G$2,Data_Detail_OLD[#Headers],0)),Data_Detail_OLD[AEA],$A10,Data_Detail_OLD[FiscalYear],$K$2)/SUMIFS(INDEX(Data_Detail_OLD[],0,MATCH($E$26,Data_Detail_OLD[#Headers],0)),Data_Detail_OLD[AEA],$A10,Data_Detail_OLD[FiscalYear],$K$2)*
INDEX(Data[],MATCH($A10,Data[AEA],0),MATCH("Pay1 - Sept - May",Data[#Headers],0)),0)</f>
        <v>27768</v>
      </c>
      <c r="H10" s="19">
        <f>ROUND(SUMIFS(INDEX(Data_Detail_OLD[],0,MATCH(H$2,Data_Detail_OLD[#Headers],0)),Data_Detail_OLD[AEA],$A10,Data_Detail_OLD[FiscalYear],$K$2)/SUMIFS(INDEX(Data_Detail_OLD[],0,MATCH($E$26,Data_Detail_OLD[#Headers],0)),Data_Detail_OLD[AEA],$A10,Data_Detail_OLD[FiscalYear],$K$2)*
INDEX(Data[],MATCH($A10,Data[AEA],0),MATCH("Pay1 - Sept - May",Data[#Headers],0)),0)</f>
        <v>1555</v>
      </c>
      <c r="I10" s="47">
        <f t="shared" si="1"/>
        <v>111686</v>
      </c>
    </row>
    <row r="11" spans="1:11" x14ac:dyDescent="0.25">
      <c r="A11" s="18" t="str">
        <f>Data!A10</f>
        <v>15</v>
      </c>
      <c r="B11" s="11" t="str">
        <f>INDEX(Data_Detail_OLD[],MATCH('PaymentCodingDetai_Sept-May-old'!$A11,Data_Detail_OLD[AEA],0),3)</f>
        <v>Great Prairie AEA 15</v>
      </c>
      <c r="C11" s="12">
        <f>ROUND(SUMIFS(INDEX(Data_Detail_OLD[],0,MATCH(C$2,Data_Detail_OLD[#Headers],0)),Data_Detail_OLD[AEA],$A11,Data_Detail_OLD[FiscalYear],$K$2)/SUMIFS(INDEX(Data_Detail_OLD[],0,MATCH($E$26,Data_Detail_OLD[#Headers],0)),Data_Detail_OLD[AEA],$A11,Data_Detail_OLD[FiscalYear],$K$2)*
INDEX(Data[],MATCH($A11,Data[AEA],0),MATCH("Pay1 - Sept - May",Data[#Headers],0)),0)</f>
        <v>119699</v>
      </c>
      <c r="D11" s="12">
        <f>ROUND(SUMIFS(INDEX(Data_Detail_OLD[],0,MATCH(D$2,Data_Detail_OLD[#Headers],0)),Data_Detail_OLD[AEA],$A11,Data_Detail_OLD[FiscalYear],$K$2)/SUMIFS(INDEX(Data_Detail_OLD[],0,MATCH($E$26,Data_Detail_OLD[#Headers],0)),Data_Detail_OLD[AEA],$A11,Data_Detail_OLD[FiscalYear],$K$2)*
INDEX(Data[],MATCH($A11,Data[AEA],0),MATCH("Pay1 - Sept - May",Data[#Headers],0)),0)</f>
        <v>95350</v>
      </c>
      <c r="E11" s="12">
        <f>ROUND(SUMIFS(INDEX(Data_Detail_OLD[],0,MATCH(E$2,Data_Detail_OLD[#Headers],0)),Data_Detail_OLD[AEA],$A11,Data_Detail_OLD[FiscalYear],$K$2)/SUMIFS(INDEX(Data_Detail_OLD[],0,MATCH($E$26,Data_Detail_OLD[#Headers],0)),Data_Detail_OLD[AEA],$A11,Data_Detail_OLD[FiscalYear],$K$2)*
INDEX(Data[],MATCH($A11,Data[AEA],0),MATCH("Pay1 - Sept - May",Data[#Headers],0)),0)</f>
        <v>20423</v>
      </c>
      <c r="F11" s="48">
        <f t="shared" si="0"/>
        <v>74927</v>
      </c>
      <c r="G11" s="19">
        <f>ROUND(SUMIFS(INDEX(Data_Detail_OLD[],0,MATCH(G$2,Data_Detail_OLD[#Headers],0)),Data_Detail_OLD[AEA],$A11,Data_Detail_OLD[FiscalYear],$K$2)/SUMIFS(INDEX(Data_Detail_OLD[],0,MATCH($E$26,Data_Detail_OLD[#Headers],0)),Data_Detail_OLD[AEA],$A11,Data_Detail_OLD[FiscalYear],$K$2)*
INDEX(Data[],MATCH($A11,Data[AEA],0),MATCH("Pay1 - Sept - May",Data[#Headers],0)),0)</f>
        <v>24349</v>
      </c>
      <c r="H11" s="19">
        <f>ROUND(SUMIFS(INDEX(Data_Detail_OLD[],0,MATCH(H$2,Data_Detail_OLD[#Headers],0)),Data_Detail_OLD[AEA],$A11,Data_Detail_OLD[FiscalYear],$K$2)/SUMIFS(INDEX(Data_Detail_OLD[],0,MATCH($E$26,Data_Detail_OLD[#Headers],0)),Data_Detail_OLD[AEA],$A11,Data_Detail_OLD[FiscalYear],$K$2)*
INDEX(Data[],MATCH($A11,Data[AEA],0),MATCH("Pay1 - Sept - May",Data[#Headers],0)),0)</f>
        <v>1195</v>
      </c>
      <c r="I11" s="47">
        <f t="shared" si="1"/>
        <v>100471</v>
      </c>
    </row>
    <row r="12" spans="1:11" ht="15.75" thickBot="1" x14ac:dyDescent="0.3">
      <c r="C12" s="16">
        <f>SUM(C3:C11)</f>
        <v>1871476</v>
      </c>
      <c r="D12" s="16">
        <f t="shared" ref="D12:I12" si="2">SUM(D3:D11)</f>
        <v>1478148</v>
      </c>
      <c r="E12" s="16">
        <f t="shared" si="2"/>
        <v>316595</v>
      </c>
      <c r="F12" s="37">
        <f t="shared" si="2"/>
        <v>1161553</v>
      </c>
      <c r="G12" s="20">
        <f t="shared" si="2"/>
        <v>393330</v>
      </c>
      <c r="H12" s="20">
        <f>SUM(H3:H11)</f>
        <v>11637</v>
      </c>
      <c r="I12" s="16">
        <f t="shared" si="2"/>
        <v>1566520</v>
      </c>
    </row>
    <row r="13" spans="1:11" ht="7.5" customHeight="1" thickTop="1" x14ac:dyDescent="0.25"/>
    <row r="14" spans="1:11" ht="45" x14ac:dyDescent="0.25">
      <c r="A14" s="17" t="str">
        <f t="shared" ref="A14:B23" si="3">A2</f>
        <v>AEA</v>
      </c>
      <c r="B14" s="17" t="str">
        <f t="shared" si="3"/>
        <v>AEA Name</v>
      </c>
      <c r="C14" s="21" t="str">
        <f>Data_Detail_OLD[[#Headers],[State Aid Portion Sharing Operations]]</f>
        <v>State Aid Portion Sharing Operations</v>
      </c>
      <c r="D14" s="9" t="str">
        <f>Data_Detail_OLD[[#Headers],[Sharing Operations Property Tax]]</f>
        <v>Sharing Operations Property Tax</v>
      </c>
      <c r="E14" s="9" t="str">
        <f>Data_Detail_OLD[[#Headers],[Total AEA Sharing Operations]]</f>
        <v>Total AEA Sharing Operations</v>
      </c>
      <c r="F14" s="21" t="str">
        <f>Data_Detail_OLD[[#Headers],[AEA Teacher Salary Supplement District Cost]]</f>
        <v>AEA Teacher Salary Supplement District Cost</v>
      </c>
      <c r="G14" s="32"/>
    </row>
    <row r="15" spans="1:11" x14ac:dyDescent="0.25">
      <c r="A15" s="11" t="str">
        <f t="shared" si="3"/>
        <v>01</v>
      </c>
      <c r="B15" s="11" t="str">
        <f t="shared" si="3"/>
        <v>Keystone AEA 1</v>
      </c>
      <c r="C15" s="22">
        <f>ROUND(SUMIFS(INDEX(Data_Detail_OLD[],0,MATCH(C$14,Data_Detail_OLD[#Headers],0)),Data_Detail_OLD[AEA],$A15,Data_Detail_OLD[FiscalYear],$K$2)/SUMIFS(INDEX(Data_Detail_OLD[],0,MATCH($E$26,Data_Detail_OLD[#Headers],0)),Data_Detail_OLD[AEA],$A15,Data_Detail_OLD[FiscalYear],$K$2)*
INDEX(Data[],MATCH($A15,Data[AEA],0),MATCH("Pay1 - Sept - May",Data[#Headers],0)),0)</f>
        <v>259</v>
      </c>
      <c r="D15" s="19">
        <f>ROUND(SUMIFS(INDEX(Data_Detail_OLD[],0,MATCH(D$14,Data_Detail_OLD[#Headers],0)),Data_Detail_OLD[AEA],$A15,Data_Detail_OLD[FiscalYear],$K$2)/SUMIFS(INDEX(Data_Detail_OLD[],0,MATCH($E$26,Data_Detail_OLD[#Headers],0)),Data_Detail_OLD[AEA],$A15,Data_Detail_OLD[FiscalYear],$K$2)*
INDEX(Data[],MATCH($A15,Data[AEA],0),MATCH("Pay1 - Sept - May",Data[#Headers],0)),0)</f>
        <v>82</v>
      </c>
      <c r="E15" s="50">
        <f>SUM(C15:D15)</f>
        <v>341</v>
      </c>
      <c r="F15" s="22">
        <f>ROUND(SUMIFS(INDEX(Data_Detail_OLD[],0,MATCH(F$14,Data_Detail_OLD[#Headers],0)),Data_Detail_OLD[AEA],$A15,Data_Detail_OLD[FiscalYear],$K$2)/SUMIFS(INDEX(Data_Detail_OLD[],0,MATCH($E$26,Data_Detail_OLD[#Headers],0)),Data_Detail_OLD[AEA],$A15,Data_Detail_OLD[FiscalYear],$K$2)*
INDEX(Data[],MATCH($A15,Data[AEA],0),MATCH("Pay1 - Sept - May",Data[#Headers],0)),0)</f>
        <v>13099</v>
      </c>
      <c r="G15" s="60"/>
    </row>
    <row r="16" spans="1:11" x14ac:dyDescent="0.25">
      <c r="A16" s="11" t="str">
        <f t="shared" si="3"/>
        <v>05</v>
      </c>
      <c r="B16" s="11" t="str">
        <f t="shared" si="3"/>
        <v>Prairie Lakes AEA 8</v>
      </c>
      <c r="C16" s="22">
        <f>ROUND(SUMIFS(INDEX(Data_Detail_OLD[],0,MATCH(C$14,Data_Detail_OLD[#Headers],0)),Data_Detail_OLD[AEA],$A16,Data_Detail_OLD[FiscalYear],$K$2)/SUMIFS(INDEX(Data_Detail_OLD[],0,MATCH($E$26,Data_Detail_OLD[#Headers],0)),Data_Detail_OLD[AEA],$A16,Data_Detail_OLD[FiscalYear],$K$2)*
INDEX(Data[],MATCH($A16,Data[AEA],0),MATCH("Pay1 - Sept - May",Data[#Headers],0)),0)</f>
        <v>0</v>
      </c>
      <c r="D16" s="19">
        <f>ROUND(SUMIFS(INDEX(Data_Detail_OLD[],0,MATCH(D$14,Data_Detail_OLD[#Headers],0)),Data_Detail_OLD[AEA],$A16,Data_Detail_OLD[FiscalYear],$K$2)/SUMIFS(INDEX(Data_Detail_OLD[],0,MATCH($E$26,Data_Detail_OLD[#Headers],0)),Data_Detail_OLD[AEA],$A16,Data_Detail_OLD[FiscalYear],$K$2)*
INDEX(Data[],MATCH($A16,Data[AEA],0),MATCH("Pay1 - Sept - May",Data[#Headers],0)),0)</f>
        <v>0</v>
      </c>
      <c r="E16" s="50">
        <f t="shared" ref="E16:E23" si="4">SUM(C16:D16)</f>
        <v>0</v>
      </c>
      <c r="F16" s="22">
        <f>ROUND(SUMIFS(INDEX(Data_Detail_OLD[],0,MATCH(F$14,Data_Detail_OLD[#Headers],0)),Data_Detail_OLD[AEA],$A16,Data_Detail_OLD[FiscalYear],$K$2)/SUMIFS(INDEX(Data_Detail_OLD[],0,MATCH($E$26,Data_Detail_OLD[#Headers],0)),Data_Detail_OLD[AEA],$A16,Data_Detail_OLD[FiscalYear],$K$2)*
INDEX(Data[],MATCH($A16,Data[AEA],0),MATCH("Pay1 - Sept - May",Data[#Headers],0)),0)</f>
        <v>12849</v>
      </c>
      <c r="G16" s="60"/>
      <c r="H16" s="67" t="s">
        <v>77</v>
      </c>
    </row>
    <row r="17" spans="1:13" x14ac:dyDescent="0.25">
      <c r="A17" s="11" t="str">
        <f t="shared" si="3"/>
        <v>07</v>
      </c>
      <c r="B17" s="11" t="str">
        <f t="shared" si="3"/>
        <v>Central Rivers</v>
      </c>
      <c r="C17" s="22">
        <f>ROUND(SUMIFS(INDEX(Data_Detail_OLD[],0,MATCH(C$14,Data_Detail_OLD[#Headers],0)),Data_Detail_OLD[AEA],$A17,Data_Detail_OLD[FiscalYear],$K$2)/SUMIFS(INDEX(Data_Detail_OLD[],0,MATCH($E$26,Data_Detail_OLD[#Headers],0)),Data_Detail_OLD[AEA],$A17,Data_Detail_OLD[FiscalYear],$K$2)*
INDEX(Data[],MATCH($A17,Data[AEA],0),MATCH("Pay1 - Sept - May",Data[#Headers],0)),0)</f>
        <v>260</v>
      </c>
      <c r="D17" s="19">
        <f>ROUND(SUMIFS(INDEX(Data_Detail_OLD[],0,MATCH(D$14,Data_Detail_OLD[#Headers],0)),Data_Detail_OLD[AEA],$A17,Data_Detail_OLD[FiscalYear],$K$2)/SUMIFS(INDEX(Data_Detail_OLD[],0,MATCH($E$26,Data_Detail_OLD[#Headers],0)),Data_Detail_OLD[AEA],$A17,Data_Detail_OLD[FiscalYear],$K$2)*
INDEX(Data[],MATCH($A17,Data[AEA],0),MATCH("Pay1 - Sept - May",Data[#Headers],0)),0)</f>
        <v>72</v>
      </c>
      <c r="E17" s="50">
        <f t="shared" si="4"/>
        <v>332</v>
      </c>
      <c r="F17" s="22">
        <f>ROUND(SUMIFS(INDEX(Data_Detail_OLD[],0,MATCH(F$14,Data_Detail_OLD[#Headers],0)),Data_Detail_OLD[AEA],$A17,Data_Detail_OLD[FiscalYear],$K$2)/SUMIFS(INDEX(Data_Detail_OLD[],0,MATCH($E$26,Data_Detail_OLD[#Headers],0)),Data_Detail_OLD[AEA],$A17,Data_Detail_OLD[FiscalYear],$K$2)*
INDEX(Data[],MATCH($A17,Data[AEA],0),MATCH("Pay1 - Sept - May",Data[#Headers],0)),0)</f>
        <v>33504</v>
      </c>
      <c r="G17" s="60"/>
      <c r="H17" s="67"/>
    </row>
    <row r="18" spans="1:13" x14ac:dyDescent="0.25">
      <c r="A18" s="11" t="str">
        <f t="shared" si="3"/>
        <v>09</v>
      </c>
      <c r="B18" s="11" t="str">
        <f t="shared" si="3"/>
        <v>Mississippi Bend AEA 9</v>
      </c>
      <c r="C18" s="22">
        <f>ROUND(SUMIFS(INDEX(Data_Detail_OLD[],0,MATCH(C$14,Data_Detail_OLD[#Headers],0)),Data_Detail_OLD[AEA],$A18,Data_Detail_OLD[FiscalYear],$K$2)/SUMIFS(INDEX(Data_Detail_OLD[],0,MATCH($E$26,Data_Detail_OLD[#Headers],0)),Data_Detail_OLD[AEA],$A18,Data_Detail_OLD[FiscalYear],$K$2)*
INDEX(Data[],MATCH($A18,Data[AEA],0),MATCH("Pay1 - Sept - May",Data[#Headers],0)),0)</f>
        <v>225</v>
      </c>
      <c r="D18" s="19">
        <f>ROUND(SUMIFS(INDEX(Data_Detail_OLD[],0,MATCH(D$14,Data_Detail_OLD[#Headers],0)),Data_Detail_OLD[AEA],$A18,Data_Detail_OLD[FiscalYear],$K$2)/SUMIFS(INDEX(Data_Detail_OLD[],0,MATCH($E$26,Data_Detail_OLD[#Headers],0)),Data_Detail_OLD[AEA],$A18,Data_Detail_OLD[FiscalYear],$K$2)*
INDEX(Data[],MATCH($A18,Data[AEA],0),MATCH("Pay1 - Sept - May",Data[#Headers],0)),0)</f>
        <v>60</v>
      </c>
      <c r="E18" s="50">
        <f t="shared" si="4"/>
        <v>285</v>
      </c>
      <c r="F18" s="22">
        <f>ROUND(SUMIFS(INDEX(Data_Detail_OLD[],0,MATCH(F$14,Data_Detail_OLD[#Headers],0)),Data_Detail_OLD[AEA],$A18,Data_Detail_OLD[FiscalYear],$K$2)/SUMIFS(INDEX(Data_Detail_OLD[],0,MATCH($E$26,Data_Detail_OLD[#Headers],0)),Data_Detail_OLD[AEA],$A18,Data_Detail_OLD[FiscalYear],$K$2)*
INDEX(Data[],MATCH($A18,Data[AEA],0),MATCH("Pay1 - Sept - May",Data[#Headers],0)),0)</f>
        <v>15562</v>
      </c>
      <c r="G18" s="60"/>
      <c r="H18" s="68" t="s">
        <v>729</v>
      </c>
    </row>
    <row r="19" spans="1:13" x14ac:dyDescent="0.25">
      <c r="A19" s="11" t="str">
        <f t="shared" si="3"/>
        <v>10</v>
      </c>
      <c r="B19" s="11" t="str">
        <f t="shared" si="3"/>
        <v>Grant Wood AEA 10</v>
      </c>
      <c r="C19" s="22">
        <f>ROUND(SUMIFS(INDEX(Data_Detail_OLD[],0,MATCH(C$14,Data_Detail_OLD[#Headers],0)),Data_Detail_OLD[AEA],$A19,Data_Detail_OLD[FiscalYear],$K$2)/SUMIFS(INDEX(Data_Detail_OLD[],0,MATCH($E$26,Data_Detail_OLD[#Headers],0)),Data_Detail_OLD[AEA],$A19,Data_Detail_OLD[FiscalYear],$K$2)*
INDEX(Data[],MATCH($A19,Data[AEA],0),MATCH("Pay1 - Sept - May",Data[#Headers],0)),0)</f>
        <v>224</v>
      </c>
      <c r="D19" s="19">
        <f>ROUND(SUMIFS(INDEX(Data_Detail_OLD[],0,MATCH(D$14,Data_Detail_OLD[#Headers],0)),Data_Detail_OLD[AEA],$A19,Data_Detail_OLD[FiscalYear],$K$2)/SUMIFS(INDEX(Data_Detail_OLD[],0,MATCH($E$26,Data_Detail_OLD[#Headers],0)),Data_Detail_OLD[AEA],$A19,Data_Detail_OLD[FiscalYear],$K$2)*
INDEX(Data[],MATCH($A19,Data[AEA],0),MATCH("Pay1 - Sept - May",Data[#Headers],0)),0)</f>
        <v>59</v>
      </c>
      <c r="E19" s="50">
        <f t="shared" si="4"/>
        <v>283</v>
      </c>
      <c r="F19" s="22">
        <f>ROUND(SUMIFS(INDEX(Data_Detail_OLD[],0,MATCH(F$14,Data_Detail_OLD[#Headers],0)),Data_Detail_OLD[AEA],$A19,Data_Detail_OLD[FiscalYear],$K$2)/SUMIFS(INDEX(Data_Detail_OLD[],0,MATCH($E$26,Data_Detail_OLD[#Headers],0)),Data_Detail_OLD[AEA],$A19,Data_Detail_OLD[FiscalYear],$K$2)*
INDEX(Data[],MATCH($A19,Data[AEA],0),MATCH("Pay1 - Sept - May",Data[#Headers],0)),0)</f>
        <v>24205</v>
      </c>
      <c r="G19" s="60"/>
      <c r="H19" s="68"/>
    </row>
    <row r="20" spans="1:13" x14ac:dyDescent="0.25">
      <c r="A20" s="11" t="str">
        <f t="shared" si="3"/>
        <v>11</v>
      </c>
      <c r="B20" s="11" t="str">
        <f t="shared" si="3"/>
        <v>Heartland AEA 11</v>
      </c>
      <c r="C20" s="22">
        <f>ROUND(SUMIFS(INDEX(Data_Detail_OLD[],0,MATCH(C$14,Data_Detail_OLD[#Headers],0)),Data_Detail_OLD[AEA],$A20,Data_Detail_OLD[FiscalYear],$K$2)/SUMIFS(INDEX(Data_Detail_OLD[],0,MATCH($E$26,Data_Detail_OLD[#Headers],0)),Data_Detail_OLD[AEA],$A20,Data_Detail_OLD[FiscalYear],$K$2)*
INDEX(Data[],MATCH($A20,Data[AEA],0),MATCH("Pay1 - Sept - May",Data[#Headers],0)),0)</f>
        <v>0</v>
      </c>
      <c r="D20" s="19">
        <f>ROUND(SUMIFS(INDEX(Data_Detail_OLD[],0,MATCH(D$14,Data_Detail_OLD[#Headers],0)),Data_Detail_OLD[AEA],$A20,Data_Detail_OLD[FiscalYear],$K$2)/SUMIFS(INDEX(Data_Detail_OLD[],0,MATCH($E$26,Data_Detail_OLD[#Headers],0)),Data_Detail_OLD[AEA],$A20,Data_Detail_OLD[FiscalYear],$K$2)*
INDEX(Data[],MATCH($A20,Data[AEA],0),MATCH("Pay1 - Sept - May",Data[#Headers],0)),0)</f>
        <v>0</v>
      </c>
      <c r="E20" s="50">
        <f t="shared" si="4"/>
        <v>0</v>
      </c>
      <c r="F20" s="22">
        <f>ROUND(SUMIFS(INDEX(Data_Detail_OLD[],0,MATCH(F$14,Data_Detail_OLD[#Headers],0)),Data_Detail_OLD[AEA],$A20,Data_Detail_OLD[FiscalYear],$K$2)/SUMIFS(INDEX(Data_Detail_OLD[],0,MATCH($E$26,Data_Detail_OLD[#Headers],0)),Data_Detail_OLD[AEA],$A20,Data_Detail_OLD[FiscalYear],$K$2)*
INDEX(Data[],MATCH($A20,Data[AEA],0),MATCH("Pay1 - Sept - May",Data[#Headers],0)),0)</f>
        <v>42110</v>
      </c>
      <c r="G20" s="60"/>
    </row>
    <row r="21" spans="1:13" x14ac:dyDescent="0.25">
      <c r="A21" s="11" t="str">
        <f t="shared" si="3"/>
        <v>12</v>
      </c>
      <c r="B21" s="11" t="str">
        <f t="shared" si="3"/>
        <v>Northwest AEA</v>
      </c>
      <c r="C21" s="22">
        <f>ROUND(SUMIFS(INDEX(Data_Detail_OLD[],0,MATCH(C$14,Data_Detail_OLD[#Headers],0)),Data_Detail_OLD[AEA],$A21,Data_Detail_OLD[FiscalYear],$K$2)/SUMIFS(INDEX(Data_Detail_OLD[],0,MATCH($E$26,Data_Detail_OLD[#Headers],0)),Data_Detail_OLD[AEA],$A21,Data_Detail_OLD[FiscalYear],$K$2)*
INDEX(Data[],MATCH($A21,Data[AEA],0),MATCH("Pay1 - Sept - May",Data[#Headers],0)),0)</f>
        <v>268</v>
      </c>
      <c r="D21" s="19">
        <f>ROUND(SUMIFS(INDEX(Data_Detail_OLD[],0,MATCH(D$14,Data_Detail_OLD[#Headers],0)),Data_Detail_OLD[AEA],$A21,Data_Detail_OLD[FiscalYear],$K$2)/SUMIFS(INDEX(Data_Detail_OLD[],0,MATCH($E$26,Data_Detail_OLD[#Headers],0)),Data_Detail_OLD[AEA],$A21,Data_Detail_OLD[FiscalYear],$K$2)*
INDEX(Data[],MATCH($A21,Data[AEA],0),MATCH("Pay1 - Sept - May",Data[#Headers],0)),0)</f>
        <v>77</v>
      </c>
      <c r="E21" s="50">
        <f t="shared" si="4"/>
        <v>345</v>
      </c>
      <c r="F21" s="22">
        <f>ROUND(SUMIFS(INDEX(Data_Detail_OLD[],0,MATCH(F$14,Data_Detail_OLD[#Headers],0)),Data_Detail_OLD[AEA],$A21,Data_Detail_OLD[FiscalYear],$K$2)/SUMIFS(INDEX(Data_Detail_OLD[],0,MATCH($E$26,Data_Detail_OLD[#Headers],0)),Data_Detail_OLD[AEA],$A21,Data_Detail_OLD[FiscalYear],$K$2)*
INDEX(Data[],MATCH($A21,Data[AEA],0),MATCH("Pay1 - Sept - May",Data[#Headers],0)),0)</f>
        <v>18621</v>
      </c>
      <c r="G21" s="60"/>
    </row>
    <row r="22" spans="1:13" x14ac:dyDescent="0.25">
      <c r="A22" s="11" t="str">
        <f t="shared" si="3"/>
        <v>13</v>
      </c>
      <c r="B22" s="11" t="str">
        <f t="shared" si="3"/>
        <v>Green Hills AEA 13</v>
      </c>
      <c r="C22" s="22">
        <f>ROUND(SUMIFS(INDEX(Data_Detail_OLD[],0,MATCH(C$14,Data_Detail_OLD[#Headers],0)),Data_Detail_OLD[AEA],$A22,Data_Detail_OLD[FiscalYear],$K$2)/SUMIFS(INDEX(Data_Detail_OLD[],0,MATCH($E$26,Data_Detail_OLD[#Headers],0)),Data_Detail_OLD[AEA],$A22,Data_Detail_OLD[FiscalYear],$K$2)*
INDEX(Data[],MATCH($A22,Data[AEA],0),MATCH("Pay1 - Sept - May",Data[#Headers],0)),0)</f>
        <v>214</v>
      </c>
      <c r="D22" s="19">
        <f>ROUND(SUMIFS(INDEX(Data_Detail_OLD[],0,MATCH(D$14,Data_Detail_OLD[#Headers],0)),Data_Detail_OLD[AEA],$A22,Data_Detail_OLD[FiscalYear],$K$2)/SUMIFS(INDEX(Data_Detail_OLD[],0,MATCH($E$26,Data_Detail_OLD[#Headers],0)),Data_Detail_OLD[AEA],$A22,Data_Detail_OLD[FiscalYear],$K$2)*
INDEX(Data[],MATCH($A22,Data[AEA],0),MATCH("Pay1 - Sept - May",Data[#Headers],0)),0)</f>
        <v>57</v>
      </c>
      <c r="E22" s="50">
        <f t="shared" si="4"/>
        <v>271</v>
      </c>
      <c r="F22" s="22">
        <f>ROUND(SUMIFS(INDEX(Data_Detail_OLD[],0,MATCH(F$14,Data_Detail_OLD[#Headers],0)),Data_Detail_OLD[AEA],$A22,Data_Detail_OLD[FiscalYear],$K$2)/SUMIFS(INDEX(Data_Detail_OLD[],0,MATCH($E$26,Data_Detail_OLD[#Headers],0)),Data_Detail_OLD[AEA],$A22,Data_Detail_OLD[FiscalYear],$K$2)*
INDEX(Data[],MATCH($A22,Data[AEA],0),MATCH("Pay1 - Sept - May",Data[#Headers],0)),0)</f>
        <v>13715</v>
      </c>
      <c r="G22" s="60"/>
    </row>
    <row r="23" spans="1:13" x14ac:dyDescent="0.25">
      <c r="A23" s="11" t="str">
        <f t="shared" si="3"/>
        <v>15</v>
      </c>
      <c r="B23" s="11" t="str">
        <f t="shared" si="3"/>
        <v>Great Prairie AEA 15</v>
      </c>
      <c r="C23" s="22">
        <f>ROUND(SUMIFS(INDEX(Data_Detail_OLD[],0,MATCH(C$14,Data_Detail_OLD[#Headers],0)),Data_Detail_OLD[AEA],$A23,Data_Detail_OLD[FiscalYear],$K$2)/SUMIFS(INDEX(Data_Detail_OLD[],0,MATCH($E$26,Data_Detail_OLD[#Headers],0)),Data_Detail_OLD[AEA],$A23,Data_Detail_OLD[FiscalYear],$K$2)*
INDEX(Data[],MATCH($A23,Data[AEA],0),MATCH("Pay1 - Sept - May",Data[#Headers],0)),0)</f>
        <v>218</v>
      </c>
      <c r="D23" s="19">
        <f>ROUND(SUMIFS(INDEX(Data_Detail_OLD[],0,MATCH(D$14,Data_Detail_OLD[#Headers],0)),Data_Detail_OLD[AEA],$A23,Data_Detail_OLD[FiscalYear],$K$2)/SUMIFS(INDEX(Data_Detail_OLD[],0,MATCH($E$26,Data_Detail_OLD[#Headers],0)),Data_Detail_OLD[AEA],$A23,Data_Detail_OLD[FiscalYear],$K$2)*
INDEX(Data[],MATCH($A23,Data[AEA],0),MATCH("Pay1 - Sept - May",Data[#Headers],0)),0)</f>
        <v>56</v>
      </c>
      <c r="E23" s="50">
        <f t="shared" si="4"/>
        <v>274</v>
      </c>
      <c r="F23" s="22">
        <f>ROUND(SUMIFS(INDEX(Data_Detail_OLD[],0,MATCH(F$14,Data_Detail_OLD[#Headers],0)),Data_Detail_OLD[AEA],$A23,Data_Detail_OLD[FiscalYear],$K$2)/SUMIFS(INDEX(Data_Detail_OLD[],0,MATCH($E$26,Data_Detail_OLD[#Headers],0)),Data_Detail_OLD[AEA],$A23,Data_Detail_OLD[FiscalYear],$K$2)*
INDEX(Data[],MATCH($A23,Data[AEA],0),MATCH("Pay1 - Sept - May",Data[#Headers],0)),0)</f>
        <v>12098</v>
      </c>
      <c r="G23" s="60"/>
    </row>
    <row r="24" spans="1:13" ht="15.75" thickBot="1" x14ac:dyDescent="0.3">
      <c r="C24" s="46">
        <f>SUM(C15:C23)</f>
        <v>1668</v>
      </c>
      <c r="D24" s="20">
        <f>SUM(D15:D23)</f>
        <v>463</v>
      </c>
      <c r="E24" s="20">
        <f>SUM(E15:E23)</f>
        <v>2131</v>
      </c>
      <c r="F24" s="46">
        <f>SUM(F15:F23)</f>
        <v>185763</v>
      </c>
      <c r="G24" s="61"/>
      <c r="K24" t="s">
        <v>760</v>
      </c>
    </row>
    <row r="25" spans="1:13" ht="7.5" customHeight="1" thickTop="1" x14ac:dyDescent="0.25">
      <c r="F25" s="6"/>
      <c r="G25" s="6"/>
      <c r="H25" s="6"/>
    </row>
    <row r="26" spans="1:13" ht="30" customHeight="1" x14ac:dyDescent="0.25">
      <c r="A26" s="17" t="str">
        <f t="shared" ref="A26:B35" si="5">A14</f>
        <v>AEA</v>
      </c>
      <c r="B26" s="17" t="str">
        <f t="shared" si="5"/>
        <v>AEA Name</v>
      </c>
      <c r="C26" s="9" t="str">
        <f>Data_Detail_OLD[[#Headers],[AEA Media Services District Cost]]</f>
        <v>AEA Media Services District Cost</v>
      </c>
      <c r="D26" s="9" t="str">
        <f>Data_Detail_OLD[[#Headers],[AEA Ed Services District Cost]]</f>
        <v>AEA Ed Services District Cost</v>
      </c>
      <c r="E26" s="8" t="str">
        <f>Data_Detail_OLD[[#Headers],[Total Budget]]</f>
        <v>Total Budget</v>
      </c>
      <c r="F26" s="21" t="str">
        <f>Data_Detail_OLD[[#Headers],[State Aid Portion]]</f>
        <v>State Aid Portion</v>
      </c>
      <c r="G26" s="9" t="str">
        <f>Data_Detail_OLD[[#Headers],[Property Tax Portion]]</f>
        <v>Property Tax Portion</v>
      </c>
      <c r="K26" s="59" t="s">
        <v>76</v>
      </c>
      <c r="L26" s="21" t="s">
        <v>730</v>
      </c>
      <c r="M26" s="9" t="s">
        <v>731</v>
      </c>
    </row>
    <row r="27" spans="1:13" x14ac:dyDescent="0.25">
      <c r="A27" s="11" t="str">
        <f t="shared" si="5"/>
        <v>01</v>
      </c>
      <c r="B27" s="11" t="str">
        <f t="shared" si="5"/>
        <v>Keystone AEA 1</v>
      </c>
      <c r="C27" s="19">
        <f>ROUND(SUMIFS(INDEX(Data_Detail_OLD[],0,MATCH(C$26,Data_Detail_OLD[#Headers],0)),Data_Detail_OLD[AEA],$A27,Data_Detail_OLD[FiscalYear],$K$2)/SUMIFS(INDEX(Data_Detail_OLD[],0,MATCH($E$26,Data_Detail_OLD[#Headers],0)),Data_Detail_OLD[AEA],$A27,Data_Detail_OLD[FiscalYear],$K$2)*
INDEX(Data[],MATCH($A27,Data[AEA],0),MATCH("Pay1 - Sept - May",Data[#Headers],0)),0)</f>
        <v>23365</v>
      </c>
      <c r="D27" s="19">
        <f>ROUND(SUMIFS(INDEX(Data_Detail_OLD[],0,MATCH(D$26,Data_Detail_OLD[#Headers],0)),Data_Detail_OLD[AEA],$A27,Data_Detail_OLD[FiscalYear],$K$2)/SUMIFS(INDEX(Data_Detail_OLD[],0,MATCH($E$26,Data_Detail_OLD[#Headers],0)),Data_Detail_OLD[AEA],$A27,Data_Detail_OLD[FiscalYear],$K$2)*
INDEX(Data[],MATCH($A27,Data[AEA],0),MATCH("Pay1 - Sept - May",Data[#Headers],0)),0)</f>
        <v>26025</v>
      </c>
      <c r="E27" s="49">
        <f>INDEX(Data[],MATCH($A27,Data[AEA],0),MATCH("Pay1 - Sept - May",Data[#Headers],0))</f>
        <v>173587</v>
      </c>
      <c r="F27" s="48">
        <f>F3+C15+F15</f>
        <v>91943</v>
      </c>
      <c r="G27" s="50">
        <f>G3+H3+D15+C27+D27</f>
        <v>81646</v>
      </c>
      <c r="K27" s="6">
        <f t="shared" ref="K27:K36" si="6">E27-D27-C27-G15-F15-E15-H3-G3-F3</f>
        <v>-2</v>
      </c>
      <c r="L27" s="6">
        <f t="shared" ref="L27:L36" si="7">F27-G15-F15-C15-F3</f>
        <v>0</v>
      </c>
      <c r="M27" s="6">
        <f t="shared" ref="M27:M36" si="8">G27-D27-C27-D15-H3-G3</f>
        <v>0</v>
      </c>
    </row>
    <row r="28" spans="1:13" x14ac:dyDescent="0.25">
      <c r="A28" s="11" t="str">
        <f t="shared" si="5"/>
        <v>05</v>
      </c>
      <c r="B28" s="11" t="str">
        <f t="shared" si="5"/>
        <v>Prairie Lakes AEA 8</v>
      </c>
      <c r="C28" s="19">
        <f>ROUND(SUMIFS(INDEX(Data_Detail_OLD[],0,MATCH(C$26,Data_Detail_OLD[#Headers],0)),Data_Detail_OLD[AEA],$A28,Data_Detail_OLD[FiscalYear],$K$2)/SUMIFS(INDEX(Data_Detail_OLD[],0,MATCH($E$26,Data_Detail_OLD[#Headers],0)),Data_Detail_OLD[AEA],$A28,Data_Detail_OLD[FiscalYear],$K$2)*
INDEX(Data[],MATCH($A28,Data[AEA],0),MATCH("Pay1 - Sept - May",Data[#Headers],0)),0)</f>
        <v>20932</v>
      </c>
      <c r="D28" s="19">
        <f>ROUND(SUMIFS(INDEX(Data_Detail_OLD[],0,MATCH(D$26,Data_Detail_OLD[#Headers],0)),Data_Detail_OLD[AEA],$A28,Data_Detail_OLD[FiscalYear],$K$2)/SUMIFS(INDEX(Data_Detail_OLD[],0,MATCH($E$26,Data_Detail_OLD[#Headers],0)),Data_Detail_OLD[AEA],$A28,Data_Detail_OLD[FiscalYear],$K$2)*
INDEX(Data[],MATCH($A28,Data[AEA],0),MATCH("Pay1 - Sept - May",Data[#Headers],0)),0)</f>
        <v>23437</v>
      </c>
      <c r="E28" s="49">
        <f>INDEX(Data[],MATCH($A28,Data[AEA],0),MATCH("Pay1 - Sept - May",Data[#Headers],0))</f>
        <v>159509</v>
      </c>
      <c r="F28" s="48">
        <f t="shared" ref="F28:F35" si="9">F4+C16+F16</f>
        <v>85592</v>
      </c>
      <c r="G28" s="50">
        <f t="shared" ref="G28:G35" si="10">G4+H4+D16+C28+D28</f>
        <v>73916</v>
      </c>
      <c r="K28" s="6">
        <f t="shared" si="6"/>
        <v>1</v>
      </c>
      <c r="L28" s="6">
        <f t="shared" si="7"/>
        <v>0</v>
      </c>
      <c r="M28" s="6">
        <f t="shared" si="8"/>
        <v>0</v>
      </c>
    </row>
    <row r="29" spans="1:13" x14ac:dyDescent="0.25">
      <c r="A29" s="11" t="str">
        <f t="shared" si="5"/>
        <v>07</v>
      </c>
      <c r="B29" s="11" t="str">
        <f t="shared" si="5"/>
        <v>Central Rivers</v>
      </c>
      <c r="C29" s="19">
        <f>ROUND(SUMIFS(INDEX(Data_Detail_OLD[],0,MATCH(C$26,Data_Detail_OLD[#Headers],0)),Data_Detail_OLD[AEA],$A29,Data_Detail_OLD[FiscalYear],$K$2)/SUMIFS(INDEX(Data_Detail_OLD[],0,MATCH($E$26,Data_Detail_OLD[#Headers],0)),Data_Detail_OLD[AEA],$A29,Data_Detail_OLD[FiscalYear],$K$2)*
INDEX(Data[],MATCH($A29,Data[AEA],0),MATCH("Pay1 - Sept - May",Data[#Headers],0)),0)</f>
        <v>46235</v>
      </c>
      <c r="D29" s="19">
        <f>ROUND(SUMIFS(INDEX(Data_Detail_OLD[],0,MATCH(D$26,Data_Detail_OLD[#Headers],0)),Data_Detail_OLD[AEA],$A29,Data_Detail_OLD[FiscalYear],$K$2)/SUMIFS(INDEX(Data_Detail_OLD[],0,MATCH($E$26,Data_Detail_OLD[#Headers],0)),Data_Detail_OLD[AEA],$A29,Data_Detail_OLD[FiscalYear],$K$2)*
INDEX(Data[],MATCH($A29,Data[AEA],0),MATCH("Pay1 - Sept - May",Data[#Headers],0)),0)</f>
        <v>51539</v>
      </c>
      <c r="E29" s="49">
        <f>INDEX(Data[],MATCH($A29,Data[AEA],0),MATCH("Pay1 - Sept - May",Data[#Headers],0))</f>
        <v>359758</v>
      </c>
      <c r="F29" s="48">
        <f t="shared" si="9"/>
        <v>200769</v>
      </c>
      <c r="G29" s="50">
        <f t="shared" si="10"/>
        <v>158990</v>
      </c>
      <c r="K29" s="6">
        <f t="shared" si="6"/>
        <v>-1</v>
      </c>
      <c r="L29" s="6">
        <f t="shared" si="7"/>
        <v>0</v>
      </c>
      <c r="M29" s="6">
        <f t="shared" si="8"/>
        <v>0</v>
      </c>
    </row>
    <row r="30" spans="1:13" x14ac:dyDescent="0.25">
      <c r="A30" s="11" t="str">
        <f t="shared" si="5"/>
        <v>09</v>
      </c>
      <c r="B30" s="11" t="str">
        <f t="shared" si="5"/>
        <v>Mississippi Bend AEA 9</v>
      </c>
      <c r="C30" s="19">
        <f>ROUND(SUMIFS(INDEX(Data_Detail_OLD[],0,MATCH(C$26,Data_Detail_OLD[#Headers],0)),Data_Detail_OLD[AEA],$A30,Data_Detail_OLD[FiscalYear],$K$2)/SUMIFS(INDEX(Data_Detail_OLD[],0,MATCH($E$26,Data_Detail_OLD[#Headers],0)),Data_Detail_OLD[AEA],$A30,Data_Detail_OLD[FiscalYear],$K$2)*
INDEX(Data[],MATCH($A30,Data[AEA],0),MATCH("Pay1 - Sept - May",Data[#Headers],0)),0)</f>
        <v>29327</v>
      </c>
      <c r="D30" s="19">
        <f>ROUND(SUMIFS(INDEX(Data_Detail_OLD[],0,MATCH(D$26,Data_Detail_OLD[#Headers],0)),Data_Detail_OLD[AEA],$A30,Data_Detail_OLD[FiscalYear],$K$2)/SUMIFS(INDEX(Data_Detail_OLD[],0,MATCH($E$26,Data_Detail_OLD[#Headers],0)),Data_Detail_OLD[AEA],$A30,Data_Detail_OLD[FiscalYear],$K$2)*
INDEX(Data[],MATCH($A30,Data[AEA],0),MATCH("Pay1 - Sept - May",Data[#Headers],0)),0)</f>
        <v>32070</v>
      </c>
      <c r="E30" s="49">
        <f>INDEX(Data[],MATCH($A30,Data[AEA],0),MATCH("Pay1 - Sept - May",Data[#Headers],0))</f>
        <v>217877</v>
      </c>
      <c r="F30" s="48">
        <f t="shared" si="9"/>
        <v>120018</v>
      </c>
      <c r="G30" s="50">
        <f t="shared" si="10"/>
        <v>97860</v>
      </c>
      <c r="K30" s="6">
        <f t="shared" si="6"/>
        <v>-1</v>
      </c>
      <c r="L30" s="6">
        <f t="shared" si="7"/>
        <v>0</v>
      </c>
      <c r="M30" s="6">
        <f t="shared" si="8"/>
        <v>0</v>
      </c>
    </row>
    <row r="31" spans="1:13" x14ac:dyDescent="0.25">
      <c r="A31" s="11" t="str">
        <f t="shared" si="5"/>
        <v>10</v>
      </c>
      <c r="B31" s="11" t="str">
        <f t="shared" si="5"/>
        <v>Grant Wood AEA 10</v>
      </c>
      <c r="C31" s="19">
        <f>ROUND(SUMIFS(INDEX(Data_Detail_OLD[],0,MATCH(C$26,Data_Detail_OLD[#Headers],0)),Data_Detail_OLD[AEA],$A31,Data_Detail_OLD[FiscalYear],$K$2)/SUMIFS(INDEX(Data_Detail_OLD[],0,MATCH($E$26,Data_Detail_OLD[#Headers],0)),Data_Detail_OLD[AEA],$A31,Data_Detail_OLD[FiscalYear],$K$2)*
INDEX(Data[],MATCH($A31,Data[AEA],0),MATCH("Pay1 - Sept - May",Data[#Headers],0)),0)</f>
        <v>45441</v>
      </c>
      <c r="D31" s="19">
        <f>ROUND(SUMIFS(INDEX(Data_Detail_OLD[],0,MATCH(D$26,Data_Detail_OLD[#Headers],0)),Data_Detail_OLD[AEA],$A31,Data_Detail_OLD[FiscalYear],$K$2)/SUMIFS(INDEX(Data_Detail_OLD[],0,MATCH($E$26,Data_Detail_OLD[#Headers],0)),Data_Detail_OLD[AEA],$A31,Data_Detail_OLD[FiscalYear],$K$2)*
INDEX(Data[],MATCH($A31,Data[AEA],0),MATCH("Pay1 - Sept - May",Data[#Headers],0)),0)</f>
        <v>49973</v>
      </c>
      <c r="E31" s="49">
        <f>INDEX(Data[],MATCH($A31,Data[AEA],0),MATCH("Pay1 - Sept - May",Data[#Headers],0))</f>
        <v>332237</v>
      </c>
      <c r="F31" s="48">
        <f t="shared" si="9"/>
        <v>182765</v>
      </c>
      <c r="G31" s="50">
        <f t="shared" si="10"/>
        <v>149474</v>
      </c>
      <c r="K31" s="6">
        <f t="shared" si="6"/>
        <v>-2</v>
      </c>
      <c r="L31" s="6">
        <f t="shared" si="7"/>
        <v>0</v>
      </c>
      <c r="M31" s="6">
        <f t="shared" si="8"/>
        <v>0</v>
      </c>
    </row>
    <row r="32" spans="1:13" x14ac:dyDescent="0.25">
      <c r="A32" s="11" t="str">
        <f t="shared" si="5"/>
        <v>11</v>
      </c>
      <c r="B32" s="11" t="str">
        <f t="shared" si="5"/>
        <v>Heartland AEA 11</v>
      </c>
      <c r="C32" s="19">
        <f>ROUND(SUMIFS(INDEX(Data_Detail_OLD[],0,MATCH(C$26,Data_Detail_OLD[#Headers],0)),Data_Detail_OLD[AEA],$A32,Data_Detail_OLD[FiscalYear],$K$2)/SUMIFS(INDEX(Data_Detail_OLD[],0,MATCH($E$26,Data_Detail_OLD[#Headers],0)),Data_Detail_OLD[AEA],$A32,Data_Detail_OLD[FiscalYear],$K$2)*
INDEX(Data[],MATCH($A32,Data[AEA],0),MATCH("Pay1 - Sept - May",Data[#Headers],0)),0)</f>
        <v>88426</v>
      </c>
      <c r="D32" s="19">
        <f>ROUND(SUMIFS(INDEX(Data_Detail_OLD[],0,MATCH(D$26,Data_Detail_OLD[#Headers],0)),Data_Detail_OLD[AEA],$A32,Data_Detail_OLD[FiscalYear],$K$2)/SUMIFS(INDEX(Data_Detail_OLD[],0,MATCH($E$26,Data_Detail_OLD[#Headers],0)),Data_Detail_OLD[AEA],$A32,Data_Detail_OLD[FiscalYear],$K$2)*
INDEX(Data[],MATCH($A32,Data[AEA],0),MATCH("Pay1 - Sept - May",Data[#Headers],0)),0)</f>
        <v>97179</v>
      </c>
      <c r="E32" s="49">
        <f>INDEX(Data[],MATCH($A32,Data[AEA],0),MATCH("Pay1 - Sept - May",Data[#Headers],0))</f>
        <v>633266</v>
      </c>
      <c r="F32" s="48">
        <f t="shared" si="9"/>
        <v>353284</v>
      </c>
      <c r="G32" s="50">
        <f t="shared" si="10"/>
        <v>279980</v>
      </c>
      <c r="K32" s="6">
        <f t="shared" si="6"/>
        <v>2</v>
      </c>
      <c r="L32" s="6">
        <f t="shared" si="7"/>
        <v>0</v>
      </c>
      <c r="M32" s="6">
        <f t="shared" si="8"/>
        <v>0</v>
      </c>
    </row>
    <row r="33" spans="1:13" x14ac:dyDescent="0.25">
      <c r="A33" s="11" t="str">
        <f t="shared" si="5"/>
        <v>12</v>
      </c>
      <c r="B33" s="11" t="str">
        <f t="shared" si="5"/>
        <v>Northwest AEA</v>
      </c>
      <c r="C33" s="19">
        <f>ROUND(SUMIFS(INDEX(Data_Detail_OLD[],0,MATCH(C$26,Data_Detail_OLD[#Headers],0)),Data_Detail_OLD[AEA],$A33,Data_Detail_OLD[FiscalYear],$K$2)/SUMIFS(INDEX(Data_Detail_OLD[],0,MATCH($E$26,Data_Detail_OLD[#Headers],0)),Data_Detail_OLD[AEA],$A33,Data_Detail_OLD[FiscalYear],$K$2)*
INDEX(Data[],MATCH($A33,Data[AEA],0),MATCH("Pay1 - Sept - May",Data[#Headers],0)),0)</f>
        <v>33625</v>
      </c>
      <c r="D33" s="19">
        <f>ROUND(SUMIFS(INDEX(Data_Detail_OLD[],0,MATCH(D$26,Data_Detail_OLD[#Headers],0)),Data_Detail_OLD[AEA],$A33,Data_Detail_OLD[FiscalYear],$K$2)/SUMIFS(INDEX(Data_Detail_OLD[],0,MATCH($E$26,Data_Detail_OLD[#Headers],0)),Data_Detail_OLD[AEA],$A33,Data_Detail_OLD[FiscalYear],$K$2)*
INDEX(Data[],MATCH($A33,Data[AEA],0),MATCH("Pay1 - Sept - May",Data[#Headers],0)),0)</f>
        <v>37639</v>
      </c>
      <c r="E33" s="49">
        <f>INDEX(Data[],MATCH($A33,Data[AEA],0),MATCH("Pay1 - Sept - May",Data[#Headers],0))</f>
        <v>244874</v>
      </c>
      <c r="F33" s="48">
        <f t="shared" si="9"/>
        <v>131078</v>
      </c>
      <c r="G33" s="50">
        <f t="shared" si="10"/>
        <v>113797</v>
      </c>
      <c r="K33" s="6">
        <f t="shared" si="6"/>
        <v>-1</v>
      </c>
      <c r="L33" s="6">
        <f t="shared" si="7"/>
        <v>0</v>
      </c>
      <c r="M33" s="6">
        <f t="shared" si="8"/>
        <v>0</v>
      </c>
    </row>
    <row r="34" spans="1:13" x14ac:dyDescent="0.25">
      <c r="A34" s="11" t="str">
        <f t="shared" si="5"/>
        <v>13</v>
      </c>
      <c r="B34" s="11" t="str">
        <f t="shared" si="5"/>
        <v>Green Hills AEA 13</v>
      </c>
      <c r="C34" s="19">
        <f>ROUND(SUMIFS(INDEX(Data_Detail_OLD[],0,MATCH(C$26,Data_Detail_OLD[#Headers],0)),Data_Detail_OLD[AEA],$A34,Data_Detail_OLD[FiscalYear],$K$2)/SUMIFS(INDEX(Data_Detail_OLD[],0,MATCH($E$26,Data_Detail_OLD[#Headers],0)),Data_Detail_OLD[AEA],$A34,Data_Detail_OLD[FiscalYear],$K$2)*
INDEX(Data[],MATCH($A34,Data[AEA],0),MATCH("Pay1 - Sept - May",Data[#Headers],0)),0)</f>
        <v>21872</v>
      </c>
      <c r="D34" s="19">
        <f>ROUND(SUMIFS(INDEX(Data_Detail_OLD[],0,MATCH(D$26,Data_Detail_OLD[#Headers],0)),Data_Detail_OLD[AEA],$A34,Data_Detail_OLD[FiscalYear],$K$2)/SUMIFS(INDEX(Data_Detail_OLD[],0,MATCH($E$26,Data_Detail_OLD[#Headers],0)),Data_Detail_OLD[AEA],$A34,Data_Detail_OLD[FiscalYear],$K$2)*
INDEX(Data[],MATCH($A34,Data[AEA],0),MATCH("Pay1 - Sept - May",Data[#Headers],0)),0)</f>
        <v>24184</v>
      </c>
      <c r="E34" s="49">
        <f>INDEX(Data[],MATCH($A34,Data[AEA],0),MATCH("Pay1 - Sept - May",Data[#Headers],0))</f>
        <v>171727</v>
      </c>
      <c r="F34" s="48">
        <f t="shared" si="9"/>
        <v>96292</v>
      </c>
      <c r="G34" s="50">
        <f t="shared" si="10"/>
        <v>75436</v>
      </c>
      <c r="K34" s="6">
        <f t="shared" si="6"/>
        <v>-1</v>
      </c>
      <c r="L34" s="6">
        <f t="shared" si="7"/>
        <v>0</v>
      </c>
      <c r="M34" s="6">
        <f t="shared" si="8"/>
        <v>0</v>
      </c>
    </row>
    <row r="35" spans="1:13" x14ac:dyDescent="0.25">
      <c r="A35" s="11" t="str">
        <f t="shared" si="5"/>
        <v>15</v>
      </c>
      <c r="B35" s="11" t="str">
        <f t="shared" si="5"/>
        <v>Great Prairie AEA 15</v>
      </c>
      <c r="C35" s="19">
        <f>ROUND(SUMIFS(INDEX(Data_Detail_OLD[],0,MATCH(C$26,Data_Detail_OLD[#Headers],0)),Data_Detail_OLD[AEA],$A35,Data_Detail_OLD[FiscalYear],$K$2)/SUMIFS(INDEX(Data_Detail_OLD[],0,MATCH($E$26,Data_Detail_OLD[#Headers],0)),Data_Detail_OLD[AEA],$A35,Data_Detail_OLD[FiscalYear],$K$2)*
INDEX(Data[],MATCH($A35,Data[AEA],0),MATCH("Pay1 - Sept - May",Data[#Headers],0)),0)</f>
        <v>20464</v>
      </c>
      <c r="D35" s="19">
        <f>ROUND(SUMIFS(INDEX(Data_Detail_OLD[],0,MATCH(D$26,Data_Detail_OLD[#Headers],0)),Data_Detail_OLD[AEA],$A35,Data_Detail_OLD[FiscalYear],$K$2)/SUMIFS(INDEX(Data_Detail_OLD[],0,MATCH($E$26,Data_Detail_OLD[#Headers],0)),Data_Detail_OLD[AEA],$A35,Data_Detail_OLD[FiscalYear],$K$2)*
INDEX(Data[],MATCH($A35,Data[AEA],0),MATCH("Pay1 - Sept - May",Data[#Headers],0)),0)</f>
        <v>22502</v>
      </c>
      <c r="E35" s="49">
        <f>INDEX(Data[],MATCH($A35,Data[AEA],0),MATCH("Pay1 - Sept - May",Data[#Headers],0))</f>
        <v>155809</v>
      </c>
      <c r="F35" s="48">
        <f t="shared" si="9"/>
        <v>87243</v>
      </c>
      <c r="G35" s="54">
        <f t="shared" si="10"/>
        <v>68566</v>
      </c>
      <c r="K35" s="6">
        <f t="shared" si="6"/>
        <v>0</v>
      </c>
      <c r="L35" s="6">
        <f t="shared" si="7"/>
        <v>0</v>
      </c>
      <c r="M35" s="6">
        <f t="shared" si="8"/>
        <v>0</v>
      </c>
    </row>
    <row r="36" spans="1:13" ht="15.75" thickBot="1" x14ac:dyDescent="0.3">
      <c r="C36" s="20">
        <f t="shared" ref="C36:E36" si="11">SUM(C27:C35)</f>
        <v>329687</v>
      </c>
      <c r="D36" s="20">
        <f t="shared" si="11"/>
        <v>364548</v>
      </c>
      <c r="E36" s="16">
        <f t="shared" si="11"/>
        <v>2448644</v>
      </c>
      <c r="F36" s="57">
        <f>SUM(F27:F35)</f>
        <v>1348984</v>
      </c>
      <c r="G36" s="55">
        <f>SUM(G27:G35)</f>
        <v>1099665</v>
      </c>
      <c r="K36" s="6">
        <f t="shared" si="6"/>
        <v>-5</v>
      </c>
      <c r="L36" s="6">
        <f t="shared" si="7"/>
        <v>0</v>
      </c>
      <c r="M36" s="6">
        <f t="shared" si="8"/>
        <v>0</v>
      </c>
    </row>
    <row r="37" spans="1:13" ht="15.75" thickTop="1" x14ac:dyDescent="0.25"/>
    <row r="39" spans="1:13" x14ac:dyDescent="0.25">
      <c r="H39" s="6"/>
    </row>
  </sheetData>
  <mergeCells count="3">
    <mergeCell ref="A1:I1"/>
    <mergeCell ref="H16:H17"/>
    <mergeCell ref="H18:H19"/>
  </mergeCells>
  <pageMargins left="0.25" right="0.25" top="0.75" bottom="0.75" header="0.3" footer="0.3"/>
  <pageSetup scale="77" orientation="landscape" r:id="rId1"/>
  <headerFooter>
    <oddFooter>&amp;LDepartment of Management&amp;R&amp;D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32770-522A-4CA2-8BEB-03A8B98A3509}">
  <sheetPr>
    <tabColor rgb="FF92D050"/>
    <pageSetUpPr fitToPage="1"/>
  </sheetPr>
  <dimension ref="A1:M35"/>
  <sheetViews>
    <sheetView zoomScale="90" zoomScaleNormal="90" workbookViewId="0">
      <selection sqref="A1:I1"/>
    </sheetView>
  </sheetViews>
  <sheetFormatPr defaultRowHeight="15" x14ac:dyDescent="0.25"/>
  <cols>
    <col min="1" max="1" width="7" customWidth="1"/>
    <col min="2" max="2" width="22.42578125" bestFit="1" customWidth="1"/>
    <col min="3" max="3" width="20.28515625" customWidth="1"/>
    <col min="4" max="4" width="19" customWidth="1"/>
    <col min="5" max="5" width="15.85546875" customWidth="1"/>
    <col min="6" max="6" width="18.140625" customWidth="1"/>
    <col min="7" max="7" width="23.42578125" customWidth="1"/>
    <col min="8" max="8" width="22.85546875" customWidth="1"/>
    <col min="9" max="9" width="22.7109375" customWidth="1"/>
    <col min="10" max="10" width="13.7109375" hidden="1" customWidth="1"/>
    <col min="11" max="11" width="23.140625" hidden="1" customWidth="1"/>
    <col min="12" max="12" width="19.5703125" hidden="1" customWidth="1"/>
    <col min="13" max="13" width="12.140625" hidden="1" customWidth="1"/>
  </cols>
  <sheetData>
    <row r="1" spans="1:13" ht="45" customHeight="1" x14ac:dyDescent="0.25">
      <c r="A1" s="66" t="str">
        <f>_xlfn.CONCAT("FY ",K1," AEA Enrollments and Cost - Final - State Aid and Property Tax Breakdown - June Payment")</f>
        <v>FY 2026 AEA Enrollments and Cost - Final - State Aid and Property Tax Breakdown - June Payment</v>
      </c>
      <c r="B1" s="66"/>
      <c r="C1" s="66"/>
      <c r="D1" s="66"/>
      <c r="E1" s="66"/>
      <c r="F1" s="66"/>
      <c r="G1" s="66"/>
      <c r="H1" s="66"/>
      <c r="I1" s="66"/>
      <c r="K1" s="10">
        <f>Notes!B1</f>
        <v>2026</v>
      </c>
    </row>
    <row r="2" spans="1:13" s="10" customFormat="1" ht="45" x14ac:dyDescent="0.25">
      <c r="A2" s="7" t="s">
        <v>46</v>
      </c>
      <c r="B2" s="7" t="s">
        <v>47</v>
      </c>
      <c r="C2" s="21" t="s">
        <v>69</v>
      </c>
      <c r="D2" s="9" t="s">
        <v>70</v>
      </c>
      <c r="E2" s="8" t="s">
        <v>71</v>
      </c>
      <c r="F2" s="21" t="s">
        <v>72</v>
      </c>
      <c r="G2" s="9" t="s">
        <v>766</v>
      </c>
      <c r="H2" s="9" t="s">
        <v>767</v>
      </c>
      <c r="I2" s="8" t="s">
        <v>768</v>
      </c>
      <c r="K2" s="10" t="s">
        <v>773</v>
      </c>
      <c r="L2" s="10" t="s">
        <v>774</v>
      </c>
      <c r="M2" s="10" t="s">
        <v>775</v>
      </c>
    </row>
    <row r="3" spans="1:13" x14ac:dyDescent="0.25">
      <c r="A3" s="18" t="str">
        <f>Data!A2</f>
        <v>01</v>
      </c>
      <c r="B3" s="11" t="str">
        <f>INDEX(Data_Detail_OLD[],MATCH(PaymentCodingDetail_June!$A3,Data_Detail_OLD[AEA],0),3)</f>
        <v>Keystone AEA 1</v>
      </c>
      <c r="C3" s="22">
        <f>PaymentCodingTotal!C3-('PaymentCodingDetai_Sept-May'!C3*9)</f>
        <v>2278</v>
      </c>
      <c r="D3" s="19">
        <f>PaymentCodingTotal!D3-('PaymentCodingDetai_Sept-May'!D3*9)</f>
        <v>722</v>
      </c>
      <c r="E3" s="12">
        <f>PaymentCodingTotal!E3-('PaymentCodingDetai_Sept-May'!E3*9)</f>
        <v>3000</v>
      </c>
      <c r="F3" s="22">
        <f>PaymentCodingTotal!F3-('PaymentCodingDetai_Sept-May'!F3*9)</f>
        <v>115185</v>
      </c>
      <c r="G3" s="19">
        <f>PaymentCodingTotal!G3-('PaymentCodingDetai_Sept-May'!G3*9)</f>
        <v>26204</v>
      </c>
      <c r="H3" s="19">
        <f>PaymentCodingTotal!H3-('PaymentCodingDetai_Sept-May'!H3*9)</f>
        <v>29195</v>
      </c>
      <c r="I3" s="49">
        <f>SUM(E3:H3)</f>
        <v>173584</v>
      </c>
      <c r="K3" s="6">
        <f>E3-D3-C3</f>
        <v>0</v>
      </c>
      <c r="L3" s="6">
        <f t="shared" ref="L3:L12" si="0">SUM(C3:D3,F3:H3)-I3</f>
        <v>0</v>
      </c>
      <c r="M3" s="6">
        <f t="shared" ref="M3:M12" si="1">SUM(E3:H3)-I3</f>
        <v>0</v>
      </c>
    </row>
    <row r="4" spans="1:13" x14ac:dyDescent="0.25">
      <c r="A4" s="18" t="str">
        <f>Data!A3</f>
        <v>05</v>
      </c>
      <c r="B4" s="11" t="str">
        <f>INDEX(Data_Detail_OLD[],MATCH(PaymentCodingDetail_June!$A4,Data_Detail_OLD[AEA],0),3)</f>
        <v>Prairie Lakes AEA 8</v>
      </c>
      <c r="C4" s="22">
        <f>PaymentCodingTotal!C4-('PaymentCodingDetai_Sept-May'!C4*9)</f>
        <v>0</v>
      </c>
      <c r="D4" s="19">
        <f>PaymentCodingTotal!D4-('PaymentCodingDetai_Sept-May'!D4*9)</f>
        <v>0</v>
      </c>
      <c r="E4" s="12">
        <f>PaymentCodingTotal!E4-('PaymentCodingDetai_Sept-May'!E4*9)</f>
        <v>0</v>
      </c>
      <c r="F4" s="22">
        <f>PaymentCodingTotal!F4-('PaymentCodingDetai_Sept-May'!F4*9)</f>
        <v>127616</v>
      </c>
      <c r="G4" s="19">
        <f>PaymentCodingTotal!G4-('PaymentCodingDetai_Sept-May'!G4*9)</f>
        <v>15047</v>
      </c>
      <c r="H4" s="19">
        <f>PaymentCodingTotal!H4-('PaymentCodingDetai_Sept-May'!H4*9)</f>
        <v>16845</v>
      </c>
      <c r="I4" s="49">
        <f t="shared" ref="I4:I11" si="2">SUM(E4:H4)</f>
        <v>159508</v>
      </c>
      <c r="K4" s="6">
        <f t="shared" ref="K4:K12" si="3">E4-D4-C4</f>
        <v>0</v>
      </c>
      <c r="L4" s="6">
        <f t="shared" si="0"/>
        <v>0</v>
      </c>
      <c r="M4" s="6">
        <f t="shared" si="1"/>
        <v>0</v>
      </c>
    </row>
    <row r="5" spans="1:13" x14ac:dyDescent="0.25">
      <c r="A5" s="18" t="str">
        <f>Data!A4</f>
        <v>07</v>
      </c>
      <c r="B5" s="11" t="str">
        <f>INDEX(Data_Detail_OLD[],MATCH(PaymentCodingDetail_June!$A5,Data_Detail_OLD[AEA],0),3)</f>
        <v>Central Rivers</v>
      </c>
      <c r="C5" s="22">
        <f>PaymentCodingTotal!C5-('PaymentCodingDetai_Sept-May'!C5*9)</f>
        <v>2347</v>
      </c>
      <c r="D5" s="19">
        <f>PaymentCodingTotal!D5-('PaymentCodingDetai_Sept-May'!D5*9)</f>
        <v>653</v>
      </c>
      <c r="E5" s="12">
        <f>PaymentCodingTotal!E5-('PaymentCodingDetai_Sept-May'!E5*9)</f>
        <v>3000</v>
      </c>
      <c r="F5" s="22">
        <f>PaymentCodingTotal!F5-('PaymentCodingDetai_Sept-May'!F5*9)</f>
        <v>303211</v>
      </c>
      <c r="G5" s="19">
        <f>PaymentCodingTotal!G5-('PaymentCodingDetai_Sept-May'!G5*9)</f>
        <v>25313</v>
      </c>
      <c r="H5" s="19">
        <f>PaymentCodingTotal!H5-('PaymentCodingDetai_Sept-May'!H5*9)</f>
        <v>28227</v>
      </c>
      <c r="I5" s="49">
        <f t="shared" si="2"/>
        <v>359751</v>
      </c>
      <c r="K5" s="6">
        <f t="shared" si="3"/>
        <v>0</v>
      </c>
      <c r="L5" s="6">
        <f t="shared" si="0"/>
        <v>0</v>
      </c>
      <c r="M5" s="6">
        <f t="shared" si="1"/>
        <v>0</v>
      </c>
    </row>
    <row r="6" spans="1:13" x14ac:dyDescent="0.25">
      <c r="A6" s="18" t="str">
        <f>Data!A5</f>
        <v>09</v>
      </c>
      <c r="B6" s="11" t="str">
        <f>INDEX(Data_Detail_OLD[],MATCH(PaymentCodingDetail_June!$A6,Data_Detail_OLD[AEA],0),3)</f>
        <v>Mississippi Bend AEA 9</v>
      </c>
      <c r="C6" s="22">
        <f>PaymentCodingTotal!C6-('PaymentCodingDetai_Sept-May'!C6*9)</f>
        <v>2365</v>
      </c>
      <c r="D6" s="19">
        <f>PaymentCodingTotal!D6-('PaymentCodingDetai_Sept-May'!D6*9)</f>
        <v>635</v>
      </c>
      <c r="E6" s="12">
        <f>PaymentCodingTotal!E6-('PaymentCodingDetai_Sept-May'!E6*9)</f>
        <v>3000</v>
      </c>
      <c r="F6" s="22">
        <f>PaymentCodingTotal!F6-('PaymentCodingDetai_Sept-May'!F6*9)</f>
        <v>163399</v>
      </c>
      <c r="G6" s="19">
        <f>PaymentCodingTotal!G6-('PaymentCodingDetai_Sept-May'!G6*9)</f>
        <v>24586</v>
      </c>
      <c r="H6" s="19">
        <f>PaymentCodingTotal!H6-('PaymentCodingDetai_Sept-May'!H6*9)</f>
        <v>26885</v>
      </c>
      <c r="I6" s="49">
        <f t="shared" si="2"/>
        <v>217870</v>
      </c>
      <c r="K6" s="6">
        <f t="shared" si="3"/>
        <v>0</v>
      </c>
      <c r="L6" s="6">
        <f t="shared" si="0"/>
        <v>0</v>
      </c>
      <c r="M6" s="6">
        <f t="shared" si="1"/>
        <v>0</v>
      </c>
    </row>
    <row r="7" spans="1:13" x14ac:dyDescent="0.25">
      <c r="A7" s="18" t="str">
        <f>Data!A6</f>
        <v>10</v>
      </c>
      <c r="B7" s="11" t="str">
        <f>INDEX(Data_Detail_OLD[],MATCH(PaymentCodingDetail_June!$A7,Data_Detail_OLD[AEA],0),3)</f>
        <v>Grant Wood AEA 10</v>
      </c>
      <c r="C7" s="22">
        <f>PaymentCodingTotal!C7-('PaymentCodingDetai_Sept-May'!C7*9)</f>
        <v>2374</v>
      </c>
      <c r="D7" s="19">
        <f>PaymentCodingTotal!D7-('PaymentCodingDetai_Sept-May'!D7*9)</f>
        <v>627</v>
      </c>
      <c r="E7" s="12">
        <f>PaymentCodingTotal!E7-('PaymentCodingDetai_Sept-May'!E7*9)</f>
        <v>3001</v>
      </c>
      <c r="F7" s="22">
        <f>PaymentCodingTotal!F7-('PaymentCodingDetai_Sept-May'!F7*9)</f>
        <v>257012</v>
      </c>
      <c r="G7" s="19">
        <f>PaymentCodingTotal!G7-('PaymentCodingDetai_Sept-May'!G7*9)</f>
        <v>34399</v>
      </c>
      <c r="H7" s="19">
        <f>PaymentCodingTotal!H7-('PaymentCodingDetai_Sept-May'!H7*9)</f>
        <v>37830</v>
      </c>
      <c r="I7" s="49">
        <f t="shared" si="2"/>
        <v>332242</v>
      </c>
      <c r="K7" s="6">
        <f t="shared" si="3"/>
        <v>0</v>
      </c>
      <c r="L7" s="6">
        <f t="shared" si="0"/>
        <v>0</v>
      </c>
      <c r="M7" s="6">
        <f t="shared" si="1"/>
        <v>0</v>
      </c>
    </row>
    <row r="8" spans="1:13" x14ac:dyDescent="0.25">
      <c r="A8" s="18" t="str">
        <f>Data!A7</f>
        <v>11</v>
      </c>
      <c r="B8" s="11" t="str">
        <f>INDEX(Data_Detail_OLD[],MATCH(PaymentCodingDetail_June!$A8,Data_Detail_OLD[AEA],0),3)</f>
        <v>Heartland AEA 11</v>
      </c>
      <c r="C8" s="22">
        <f>PaymentCodingTotal!C8-('PaymentCodingDetai_Sept-May'!C8*9)</f>
        <v>0</v>
      </c>
      <c r="D8" s="19">
        <f>PaymentCodingTotal!D8-('PaymentCodingDetai_Sept-May'!D8*9)</f>
        <v>0</v>
      </c>
      <c r="E8" s="12">
        <f>PaymentCodingTotal!E8-('PaymentCodingDetai_Sept-May'!E8*9)</f>
        <v>0</v>
      </c>
      <c r="F8" s="22">
        <f>PaymentCodingTotal!F8-('PaymentCodingDetai_Sept-May'!F8*9)</f>
        <v>475332</v>
      </c>
      <c r="G8" s="19">
        <f>PaymentCodingTotal!G8-('PaymentCodingDetai_Sept-May'!G8*9)</f>
        <v>75214</v>
      </c>
      <c r="H8" s="19">
        <f>PaymentCodingTotal!H8-('PaymentCodingDetai_Sept-May'!H8*9)</f>
        <v>82667</v>
      </c>
      <c r="I8" s="49">
        <f t="shared" si="2"/>
        <v>633213</v>
      </c>
      <c r="K8" s="6">
        <f t="shared" si="3"/>
        <v>0</v>
      </c>
      <c r="L8" s="6">
        <f t="shared" si="0"/>
        <v>0</v>
      </c>
      <c r="M8" s="6">
        <f t="shared" si="1"/>
        <v>0</v>
      </c>
    </row>
    <row r="9" spans="1:13" x14ac:dyDescent="0.25">
      <c r="A9" s="18" t="str">
        <f>Data!A8</f>
        <v>12</v>
      </c>
      <c r="B9" s="11" t="str">
        <f>INDEX(Data_Detail_OLD[],MATCH(PaymentCodingDetail_June!$A9,Data_Detail_OLD[AEA],0),3)</f>
        <v>Northwest AEA</v>
      </c>
      <c r="C9" s="22">
        <f>PaymentCodingTotal!C9-('PaymentCodingDetai_Sept-May'!C9*9)</f>
        <v>2331</v>
      </c>
      <c r="D9" s="19">
        <f>PaymentCodingTotal!D9-('PaymentCodingDetai_Sept-May'!D9*9)</f>
        <v>669</v>
      </c>
      <c r="E9" s="12">
        <f>PaymentCodingTotal!E9-('PaymentCodingDetai_Sept-May'!E9*9)</f>
        <v>3000</v>
      </c>
      <c r="F9" s="22">
        <f>PaymentCodingTotal!F9-('PaymentCodingDetai_Sept-May'!F9*9)</f>
        <v>161950</v>
      </c>
      <c r="G9" s="19">
        <f>PaymentCodingTotal!G9-('PaymentCodingDetai_Sept-May'!G9*9)</f>
        <v>37706</v>
      </c>
      <c r="H9" s="19">
        <f>PaymentCodingTotal!H9-('PaymentCodingDetai_Sept-May'!H9*9)</f>
        <v>42202</v>
      </c>
      <c r="I9" s="49">
        <f t="shared" si="2"/>
        <v>244858</v>
      </c>
      <c r="K9" s="6">
        <f t="shared" si="3"/>
        <v>0</v>
      </c>
      <c r="L9" s="6">
        <f t="shared" si="0"/>
        <v>0</v>
      </c>
      <c r="M9" s="6">
        <f t="shared" si="1"/>
        <v>0</v>
      </c>
    </row>
    <row r="10" spans="1:13" x14ac:dyDescent="0.25">
      <c r="A10" s="18" t="str">
        <f>Data!A9</f>
        <v>13</v>
      </c>
      <c r="B10" s="11" t="str">
        <f>INDEX(Data_Detail_OLD[],MATCH(PaymentCodingDetail_June!$A10,Data_Detail_OLD[AEA],0),3)</f>
        <v>Green Hills AEA 13</v>
      </c>
      <c r="C10" s="22">
        <f>PaymentCodingTotal!C10-('PaymentCodingDetai_Sept-May'!C10*9)</f>
        <v>2376</v>
      </c>
      <c r="D10" s="19">
        <f>PaymentCodingTotal!D10-('PaymentCodingDetai_Sept-May'!D10*9)</f>
        <v>624</v>
      </c>
      <c r="E10" s="12">
        <f>PaymentCodingTotal!E10-('PaymentCodingDetai_Sept-May'!E10*9)</f>
        <v>3000</v>
      </c>
      <c r="F10" s="22">
        <f>PaymentCodingTotal!F10-('PaymentCodingDetai_Sept-May'!F10*9)</f>
        <v>151930</v>
      </c>
      <c r="G10" s="19">
        <f>PaymentCodingTotal!G10-('PaymentCodingDetai_Sept-May'!G10*9)</f>
        <v>7967</v>
      </c>
      <c r="H10" s="19">
        <f>PaymentCodingTotal!H10-('PaymentCodingDetai_Sept-May'!H10*9)</f>
        <v>8810</v>
      </c>
      <c r="I10" s="49">
        <f t="shared" si="2"/>
        <v>171707</v>
      </c>
      <c r="K10" s="6">
        <f t="shared" si="3"/>
        <v>0</v>
      </c>
      <c r="L10" s="6">
        <f t="shared" si="0"/>
        <v>0</v>
      </c>
      <c r="M10" s="6">
        <f t="shared" si="1"/>
        <v>0</v>
      </c>
    </row>
    <row r="11" spans="1:13" x14ac:dyDescent="0.25">
      <c r="A11" s="18" t="str">
        <f>Data!A10</f>
        <v>15</v>
      </c>
      <c r="B11" s="11" t="str">
        <f>INDEX(Data_Detail_OLD[],MATCH(PaymentCodingDetail_June!$A11,Data_Detail_OLD[AEA],0),3)</f>
        <v>Great Prairie AEA 15</v>
      </c>
      <c r="C11" s="22">
        <f>PaymentCodingTotal!C11-('PaymentCodingDetai_Sept-May'!C11*9)</f>
        <v>2388</v>
      </c>
      <c r="D11" s="19">
        <f>PaymentCodingTotal!D11-('PaymentCodingDetai_Sept-May'!D11*9)</f>
        <v>614</v>
      </c>
      <c r="E11" s="12">
        <f>PaymentCodingTotal!E11-('PaymentCodingDetai_Sept-May'!E11*9)</f>
        <v>3002</v>
      </c>
      <c r="F11" s="22">
        <f>PaymentCodingTotal!F11-('PaymentCodingDetai_Sept-May'!F11*9)</f>
        <v>132738</v>
      </c>
      <c r="G11" s="19">
        <f>PaymentCodingTotal!G11-('PaymentCodingDetai_Sept-May'!G11*9)</f>
        <v>9544</v>
      </c>
      <c r="H11" s="19">
        <f>PaymentCodingTotal!H11-('PaymentCodingDetai_Sept-May'!H11*9)</f>
        <v>10503</v>
      </c>
      <c r="I11" s="49">
        <f t="shared" si="2"/>
        <v>155787</v>
      </c>
      <c r="K11" s="6">
        <f t="shared" si="3"/>
        <v>0</v>
      </c>
      <c r="L11" s="6">
        <f t="shared" si="0"/>
        <v>0</v>
      </c>
      <c r="M11" s="6">
        <f t="shared" si="1"/>
        <v>0</v>
      </c>
    </row>
    <row r="12" spans="1:13" ht="15.75" thickBot="1" x14ac:dyDescent="0.3">
      <c r="C12" s="37">
        <f>SUM(C3:C11)</f>
        <v>16459</v>
      </c>
      <c r="D12" s="20">
        <f t="shared" ref="D12:I12" si="4">SUM(D3:D11)</f>
        <v>4544</v>
      </c>
      <c r="E12" s="16">
        <f t="shared" si="4"/>
        <v>21003</v>
      </c>
      <c r="F12" s="37">
        <f t="shared" si="4"/>
        <v>1888373</v>
      </c>
      <c r="G12" s="20">
        <f t="shared" si="4"/>
        <v>255980</v>
      </c>
      <c r="H12" s="20">
        <f>SUM(H3:H11)</f>
        <v>283164</v>
      </c>
      <c r="I12" s="16">
        <f t="shared" si="4"/>
        <v>2448520</v>
      </c>
      <c r="K12" s="6">
        <f t="shared" si="3"/>
        <v>0</v>
      </c>
      <c r="L12" s="6">
        <f t="shared" si="0"/>
        <v>0</v>
      </c>
      <c r="M12" s="6">
        <f t="shared" si="1"/>
        <v>0</v>
      </c>
    </row>
    <row r="13" spans="1:13" ht="7.5" customHeight="1" thickTop="1" x14ac:dyDescent="0.25"/>
    <row r="14" spans="1:13" ht="45" x14ac:dyDescent="0.25">
      <c r="A14" s="17" t="str">
        <f t="shared" ref="A14:B23" si="5">A2</f>
        <v>AEA</v>
      </c>
      <c r="B14" s="17" t="str">
        <f t="shared" si="5"/>
        <v>AEA Name</v>
      </c>
      <c r="C14" s="21" t="s">
        <v>769</v>
      </c>
      <c r="D14" s="9" t="s">
        <v>770</v>
      </c>
      <c r="G14" s="32"/>
    </row>
    <row r="15" spans="1:13" x14ac:dyDescent="0.25">
      <c r="A15" s="11" t="str">
        <f t="shared" si="5"/>
        <v>01</v>
      </c>
      <c r="B15" s="11" t="str">
        <f t="shared" si="5"/>
        <v>Keystone AEA 1</v>
      </c>
      <c r="C15" s="22">
        <f>PaymentCodingTotal!C15-('PaymentCodingDetai_Sept-May'!C15*9)</f>
        <v>117463</v>
      </c>
      <c r="D15" s="19">
        <f>PaymentCodingTotal!D15-('PaymentCodingDetai_Sept-May'!D15*9)</f>
        <v>56121</v>
      </c>
      <c r="G15" s="60"/>
    </row>
    <row r="16" spans="1:13" x14ac:dyDescent="0.25">
      <c r="A16" s="11" t="str">
        <f t="shared" si="5"/>
        <v>05</v>
      </c>
      <c r="B16" s="11" t="str">
        <f t="shared" si="5"/>
        <v>Prairie Lakes AEA 8</v>
      </c>
      <c r="C16" s="22">
        <f>PaymentCodingTotal!C16-('PaymentCodingDetai_Sept-May'!C16*9)</f>
        <v>127616</v>
      </c>
      <c r="D16" s="19">
        <f>PaymentCodingTotal!D16-('PaymentCodingDetai_Sept-May'!D16*9)</f>
        <v>31892</v>
      </c>
      <c r="F16" s="67" t="s">
        <v>77</v>
      </c>
      <c r="G16" s="60"/>
    </row>
    <row r="17" spans="1:13" x14ac:dyDescent="0.25">
      <c r="A17" s="11" t="str">
        <f t="shared" si="5"/>
        <v>07</v>
      </c>
      <c r="B17" s="11" t="str">
        <f t="shared" si="5"/>
        <v>Central Rivers</v>
      </c>
      <c r="C17" s="22">
        <f>PaymentCodingTotal!C17-('PaymentCodingDetai_Sept-May'!C17*9)</f>
        <v>305558</v>
      </c>
      <c r="D17" s="19">
        <f>PaymentCodingTotal!D17-('PaymentCodingDetai_Sept-May'!D17*9)</f>
        <v>54193</v>
      </c>
      <c r="F17" s="67"/>
      <c r="G17" s="60"/>
    </row>
    <row r="18" spans="1:13" x14ac:dyDescent="0.25">
      <c r="A18" s="11" t="str">
        <f t="shared" si="5"/>
        <v>09</v>
      </c>
      <c r="B18" s="11" t="str">
        <f t="shared" si="5"/>
        <v>Mississippi Bend AEA 9</v>
      </c>
      <c r="C18" s="22">
        <f>PaymentCodingTotal!C18-('PaymentCodingDetai_Sept-May'!C18*9)</f>
        <v>165764</v>
      </c>
      <c r="D18" s="19">
        <f>PaymentCodingTotal!D18-('PaymentCodingDetai_Sept-May'!D18*9)</f>
        <v>52106</v>
      </c>
      <c r="F18" s="68" t="s">
        <v>729</v>
      </c>
      <c r="G18" s="60"/>
    </row>
    <row r="19" spans="1:13" x14ac:dyDescent="0.25">
      <c r="A19" s="11" t="str">
        <f t="shared" si="5"/>
        <v>10</v>
      </c>
      <c r="B19" s="11" t="str">
        <f t="shared" si="5"/>
        <v>Grant Wood AEA 10</v>
      </c>
      <c r="C19" s="22">
        <f>PaymentCodingTotal!C19-('PaymentCodingDetai_Sept-May'!C19*9)</f>
        <v>259386</v>
      </c>
      <c r="D19" s="19">
        <f>PaymentCodingTotal!D19-('PaymentCodingDetai_Sept-May'!D19*9)</f>
        <v>72856</v>
      </c>
      <c r="F19" s="68"/>
      <c r="G19" s="60"/>
    </row>
    <row r="20" spans="1:13" x14ac:dyDescent="0.25">
      <c r="A20" s="11" t="str">
        <f t="shared" si="5"/>
        <v>11</v>
      </c>
      <c r="B20" s="11" t="str">
        <f t="shared" si="5"/>
        <v>Heartland AEA 11</v>
      </c>
      <c r="C20" s="22">
        <f>PaymentCodingTotal!C20-('PaymentCodingDetai_Sept-May'!C20*9)</f>
        <v>475332</v>
      </c>
      <c r="D20" s="19">
        <f>PaymentCodingTotal!D20-('PaymentCodingDetai_Sept-May'!D20*9)</f>
        <v>157881</v>
      </c>
      <c r="G20" s="60"/>
    </row>
    <row r="21" spans="1:13" x14ac:dyDescent="0.25">
      <c r="A21" s="11" t="str">
        <f t="shared" si="5"/>
        <v>12</v>
      </c>
      <c r="B21" s="11" t="str">
        <f t="shared" si="5"/>
        <v>Northwest AEA</v>
      </c>
      <c r="C21" s="22">
        <f>PaymentCodingTotal!C21-('PaymentCodingDetai_Sept-May'!C21*9)</f>
        <v>164281</v>
      </c>
      <c r="D21" s="19">
        <f>PaymentCodingTotal!D21-('PaymentCodingDetai_Sept-May'!D21*9)</f>
        <v>80577</v>
      </c>
      <c r="G21" s="60"/>
    </row>
    <row r="22" spans="1:13" x14ac:dyDescent="0.25">
      <c r="A22" s="11" t="str">
        <f t="shared" si="5"/>
        <v>13</v>
      </c>
      <c r="B22" s="11" t="str">
        <f t="shared" si="5"/>
        <v>Green Hills AEA 13</v>
      </c>
      <c r="C22" s="22">
        <f>PaymentCodingTotal!C22-('PaymentCodingDetai_Sept-May'!C22*9)</f>
        <v>154306</v>
      </c>
      <c r="D22" s="19">
        <f>PaymentCodingTotal!D22-('PaymentCodingDetai_Sept-May'!D22*9)</f>
        <v>17401</v>
      </c>
      <c r="G22" s="60"/>
    </row>
    <row r="23" spans="1:13" x14ac:dyDescent="0.25">
      <c r="A23" s="11" t="str">
        <f t="shared" si="5"/>
        <v>15</v>
      </c>
      <c r="B23" s="11" t="str">
        <f t="shared" si="5"/>
        <v>Great Prairie AEA 15</v>
      </c>
      <c r="C23" s="22">
        <f>PaymentCodingTotal!C23-('PaymentCodingDetai_Sept-May'!C23*9)</f>
        <v>135126</v>
      </c>
      <c r="D23" s="19">
        <f>PaymentCodingTotal!D23-('PaymentCodingDetai_Sept-May'!D23*9)</f>
        <v>20661</v>
      </c>
      <c r="G23" s="60"/>
      <c r="K23" t="s">
        <v>772</v>
      </c>
    </row>
    <row r="24" spans="1:13" ht="15.75" thickBot="1" x14ac:dyDescent="0.3">
      <c r="C24" s="37">
        <f>SUM(C15:C23)</f>
        <v>1904832</v>
      </c>
      <c r="D24" s="20">
        <f>SUM(D15:D23)</f>
        <v>543688</v>
      </c>
      <c r="G24" s="61"/>
      <c r="K24" s="69" t="s">
        <v>771</v>
      </c>
      <c r="L24" s="71" t="s">
        <v>78</v>
      </c>
    </row>
    <row r="25" spans="1:13" ht="15.75" thickTop="1" x14ac:dyDescent="0.25">
      <c r="K25" s="69"/>
      <c r="L25" s="71"/>
    </row>
    <row r="26" spans="1:13" x14ac:dyDescent="0.25">
      <c r="H26" s="6"/>
      <c r="K26" s="70"/>
      <c r="L26" s="72"/>
      <c r="M26" t="s">
        <v>776</v>
      </c>
    </row>
    <row r="27" spans="1:13" x14ac:dyDescent="0.25">
      <c r="J27" s="11" t="str">
        <f>B3</f>
        <v>Keystone AEA 1</v>
      </c>
      <c r="K27" s="6">
        <f>C3+F3-C15</f>
        <v>0</v>
      </c>
      <c r="L27" s="6">
        <f>D3+G3+H3-D15</f>
        <v>0</v>
      </c>
      <c r="M27" s="6">
        <f>I3-D15-C15</f>
        <v>0</v>
      </c>
    </row>
    <row r="28" spans="1:13" x14ac:dyDescent="0.25">
      <c r="J28" s="11" t="str">
        <f t="shared" ref="J28:J35" si="6">B4</f>
        <v>Prairie Lakes AEA 8</v>
      </c>
      <c r="K28" s="6">
        <f t="shared" ref="K28:K35" si="7">C4+F4-C16</f>
        <v>0</v>
      </c>
      <c r="L28" s="6">
        <f t="shared" ref="L28:L35" si="8">D4+G4+H4-D16</f>
        <v>0</v>
      </c>
      <c r="M28" s="6">
        <f t="shared" ref="M28:M35" si="9">I4-D16-C16</f>
        <v>0</v>
      </c>
    </row>
    <row r="29" spans="1:13" x14ac:dyDescent="0.25">
      <c r="J29" s="11" t="str">
        <f t="shared" si="6"/>
        <v>Central Rivers</v>
      </c>
      <c r="K29" s="6">
        <f>C5+F5-C17</f>
        <v>0</v>
      </c>
      <c r="L29" s="6">
        <f t="shared" si="8"/>
        <v>0</v>
      </c>
      <c r="M29" s="6">
        <f t="shared" si="9"/>
        <v>0</v>
      </c>
    </row>
    <row r="30" spans="1:13" x14ac:dyDescent="0.25">
      <c r="J30" s="11" t="str">
        <f t="shared" si="6"/>
        <v>Mississippi Bend AEA 9</v>
      </c>
      <c r="K30" s="6">
        <f t="shared" si="7"/>
        <v>0</v>
      </c>
      <c r="L30" s="6">
        <f t="shared" si="8"/>
        <v>0</v>
      </c>
      <c r="M30" s="6">
        <f t="shared" si="9"/>
        <v>0</v>
      </c>
    </row>
    <row r="31" spans="1:13" x14ac:dyDescent="0.25">
      <c r="J31" s="11" t="str">
        <f t="shared" si="6"/>
        <v>Grant Wood AEA 10</v>
      </c>
      <c r="K31" s="6">
        <f t="shared" si="7"/>
        <v>0</v>
      </c>
      <c r="L31" s="6">
        <f t="shared" si="8"/>
        <v>0</v>
      </c>
      <c r="M31" s="6">
        <f t="shared" si="9"/>
        <v>0</v>
      </c>
    </row>
    <row r="32" spans="1:13" x14ac:dyDescent="0.25">
      <c r="J32" s="11" t="str">
        <f t="shared" si="6"/>
        <v>Heartland AEA 11</v>
      </c>
      <c r="K32" s="6">
        <f t="shared" si="7"/>
        <v>0</v>
      </c>
      <c r="L32" s="6">
        <f t="shared" si="8"/>
        <v>0</v>
      </c>
      <c r="M32" s="6">
        <f t="shared" si="9"/>
        <v>0</v>
      </c>
    </row>
    <row r="33" spans="10:13" x14ac:dyDescent="0.25">
      <c r="J33" s="11" t="str">
        <f t="shared" si="6"/>
        <v>Northwest AEA</v>
      </c>
      <c r="K33" s="6">
        <f t="shared" si="7"/>
        <v>0</v>
      </c>
      <c r="L33" s="6">
        <f t="shared" si="8"/>
        <v>0</v>
      </c>
      <c r="M33" s="6">
        <f t="shared" si="9"/>
        <v>0</v>
      </c>
    </row>
    <row r="34" spans="10:13" x14ac:dyDescent="0.25">
      <c r="J34" s="11" t="str">
        <f t="shared" si="6"/>
        <v>Green Hills AEA 13</v>
      </c>
      <c r="K34" s="6">
        <f t="shared" si="7"/>
        <v>0</v>
      </c>
      <c r="L34" s="6">
        <f t="shared" si="8"/>
        <v>0</v>
      </c>
      <c r="M34" s="6">
        <f t="shared" si="9"/>
        <v>0</v>
      </c>
    </row>
    <row r="35" spans="10:13" x14ac:dyDescent="0.25">
      <c r="J35" s="11" t="str">
        <f t="shared" si="6"/>
        <v>Great Prairie AEA 15</v>
      </c>
      <c r="K35" s="6">
        <f t="shared" si="7"/>
        <v>0</v>
      </c>
      <c r="L35" s="6">
        <f t="shared" si="8"/>
        <v>0</v>
      </c>
      <c r="M35" s="6">
        <f t="shared" si="9"/>
        <v>0</v>
      </c>
    </row>
  </sheetData>
  <sheetProtection sheet="1" objects="1" scenarios="1"/>
  <mergeCells count="5">
    <mergeCell ref="A1:I1"/>
    <mergeCell ref="K24:K26"/>
    <mergeCell ref="L24:L26"/>
    <mergeCell ref="F16:F17"/>
    <mergeCell ref="F18:F19"/>
  </mergeCells>
  <pageMargins left="0.25" right="0.25" top="0.75" bottom="0.75" header="0.3" footer="0.3"/>
  <pageSetup scale="77" orientation="landscape" r:id="rId1"/>
  <headerFooter>
    <oddFooter>&amp;LDepartment of Management&amp;R&amp;D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3190D-6156-454E-91BB-1541F2292BBA}">
  <dimension ref="A1:N326"/>
  <sheetViews>
    <sheetView topLeftCell="G1" workbookViewId="0">
      <selection activeCell="L1" sqref="L1"/>
    </sheetView>
  </sheetViews>
  <sheetFormatPr defaultRowHeight="15" x14ac:dyDescent="0.25"/>
  <cols>
    <col min="1" max="1" width="12" customWidth="1"/>
    <col min="2" max="2" width="9.140625" style="1"/>
    <col min="3" max="3" width="12.42578125" style="1" customWidth="1"/>
    <col min="4" max="4" width="9.140625" style="1"/>
    <col min="5" max="5" width="9.42578125" customWidth="1"/>
    <col min="6" max="6" width="35.42578125" customWidth="1"/>
    <col min="7" max="7" width="31.5703125" customWidth="1"/>
    <col min="8" max="8" width="28.85546875" customWidth="1"/>
    <col min="9" max="9" width="42.140625" customWidth="1"/>
    <col min="10" max="10" width="37.140625" customWidth="1"/>
    <col min="11" max="11" width="41.7109375" customWidth="1"/>
    <col min="12" max="12" width="19.85546875" customWidth="1"/>
    <col min="13" max="13" width="30.42578125" customWidth="1"/>
    <col min="14" max="14" width="33.5703125" customWidth="1"/>
  </cols>
  <sheetData>
    <row r="1" spans="1:14" x14ac:dyDescent="0.25">
      <c r="A1" t="s">
        <v>59</v>
      </c>
      <c r="B1" s="1" t="s">
        <v>46</v>
      </c>
      <c r="C1" s="1" t="s">
        <v>47</v>
      </c>
      <c r="D1" s="1" t="s">
        <v>60</v>
      </c>
      <c r="E1" t="s">
        <v>61</v>
      </c>
      <c r="F1" t="s">
        <v>69</v>
      </c>
      <c r="G1" t="s">
        <v>70</v>
      </c>
      <c r="H1" t="s">
        <v>71</v>
      </c>
      <c r="I1" t="s">
        <v>72</v>
      </c>
      <c r="J1" t="s">
        <v>766</v>
      </c>
      <c r="K1" t="s">
        <v>767</v>
      </c>
      <c r="L1" t="s">
        <v>768</v>
      </c>
      <c r="M1" t="s">
        <v>769</v>
      </c>
      <c r="N1" t="s">
        <v>770</v>
      </c>
    </row>
    <row r="2" spans="1:14" x14ac:dyDescent="0.25">
      <c r="A2">
        <v>2026</v>
      </c>
      <c r="B2" s="1" t="s">
        <v>18</v>
      </c>
      <c r="C2" s="1" t="s">
        <v>53</v>
      </c>
      <c r="D2" s="63" t="s">
        <v>404</v>
      </c>
      <c r="E2" t="s">
        <v>79</v>
      </c>
      <c r="F2">
        <v>0</v>
      </c>
      <c r="G2">
        <v>0</v>
      </c>
      <c r="H2">
        <v>0</v>
      </c>
      <c r="I2" s="6">
        <v>9785</v>
      </c>
      <c r="J2">
        <v>0</v>
      </c>
      <c r="K2">
        <v>0</v>
      </c>
      <c r="L2" s="6">
        <v>9785</v>
      </c>
      <c r="M2" s="6">
        <v>9785</v>
      </c>
      <c r="N2">
        <v>0</v>
      </c>
    </row>
    <row r="3" spans="1:14" x14ac:dyDescent="0.25">
      <c r="A3">
        <v>2026</v>
      </c>
      <c r="B3" s="1" t="s">
        <v>18</v>
      </c>
      <c r="C3" s="1" t="s">
        <v>53</v>
      </c>
      <c r="D3" s="63" t="s">
        <v>405</v>
      </c>
      <c r="E3" t="s">
        <v>80</v>
      </c>
      <c r="F3">
        <v>0</v>
      </c>
      <c r="G3">
        <v>0</v>
      </c>
      <c r="H3">
        <v>0</v>
      </c>
      <c r="I3" s="6">
        <v>71204</v>
      </c>
      <c r="J3" s="6">
        <v>3308</v>
      </c>
      <c r="K3" s="6">
        <v>3635</v>
      </c>
      <c r="L3" s="6">
        <v>78147</v>
      </c>
      <c r="M3" s="6">
        <v>71204</v>
      </c>
      <c r="N3" s="6">
        <v>6943</v>
      </c>
    </row>
    <row r="4" spans="1:14" x14ac:dyDescent="0.25">
      <c r="A4">
        <v>2026</v>
      </c>
      <c r="B4" s="63" t="s">
        <v>15</v>
      </c>
      <c r="C4" s="1" t="s">
        <v>50</v>
      </c>
      <c r="D4" s="63" t="s">
        <v>406</v>
      </c>
      <c r="E4" t="s">
        <v>81</v>
      </c>
      <c r="F4">
        <v>270</v>
      </c>
      <c r="G4">
        <v>75</v>
      </c>
      <c r="H4">
        <v>345</v>
      </c>
      <c r="I4" s="6">
        <v>35155</v>
      </c>
      <c r="J4" s="6">
        <v>1632</v>
      </c>
      <c r="K4" s="6">
        <v>1820</v>
      </c>
      <c r="L4" s="6">
        <v>38952</v>
      </c>
      <c r="M4" s="6">
        <v>35425</v>
      </c>
      <c r="N4" s="6">
        <v>3527</v>
      </c>
    </row>
    <row r="5" spans="1:14" x14ac:dyDescent="0.25">
      <c r="A5">
        <v>2026</v>
      </c>
      <c r="B5" s="1" t="s">
        <v>20</v>
      </c>
      <c r="C5" s="1" t="s">
        <v>55</v>
      </c>
      <c r="D5" s="63" t="s">
        <v>407</v>
      </c>
      <c r="E5" t="s">
        <v>82</v>
      </c>
      <c r="F5">
        <v>502</v>
      </c>
      <c r="G5">
        <v>133</v>
      </c>
      <c r="H5">
        <v>635</v>
      </c>
      <c r="I5" s="6">
        <v>31970</v>
      </c>
      <c r="J5">
        <v>195</v>
      </c>
      <c r="K5">
        <v>216</v>
      </c>
      <c r="L5" s="6">
        <v>33016</v>
      </c>
      <c r="M5" s="6">
        <v>32472</v>
      </c>
      <c r="N5">
        <v>544</v>
      </c>
    </row>
    <row r="6" spans="1:14" x14ac:dyDescent="0.25">
      <c r="A6">
        <v>2026</v>
      </c>
      <c r="B6" s="1" t="s">
        <v>19</v>
      </c>
      <c r="C6" s="1" t="s">
        <v>54</v>
      </c>
      <c r="D6" s="63" t="s">
        <v>408</v>
      </c>
      <c r="E6" t="s">
        <v>83</v>
      </c>
      <c r="F6">
        <v>312</v>
      </c>
      <c r="G6">
        <v>90</v>
      </c>
      <c r="H6">
        <v>402</v>
      </c>
      <c r="I6" s="6">
        <v>21590</v>
      </c>
      <c r="J6">
        <v>849</v>
      </c>
      <c r="K6">
        <v>950</v>
      </c>
      <c r="L6" s="6">
        <v>23791</v>
      </c>
      <c r="M6" s="6">
        <v>21902</v>
      </c>
      <c r="N6" s="6">
        <v>1889</v>
      </c>
    </row>
    <row r="7" spans="1:14" x14ac:dyDescent="0.25">
      <c r="A7">
        <v>2026</v>
      </c>
      <c r="B7" s="63" t="s">
        <v>14</v>
      </c>
      <c r="C7" s="1" t="s">
        <v>49</v>
      </c>
      <c r="D7" s="63" t="s">
        <v>409</v>
      </c>
      <c r="E7" t="s">
        <v>84</v>
      </c>
      <c r="F7">
        <v>0</v>
      </c>
      <c r="G7">
        <v>0</v>
      </c>
      <c r="H7">
        <v>0</v>
      </c>
      <c r="I7" s="6">
        <v>8753</v>
      </c>
      <c r="J7">
        <v>523</v>
      </c>
      <c r="K7">
        <v>585</v>
      </c>
      <c r="L7" s="6">
        <v>9861</v>
      </c>
      <c r="M7" s="6">
        <v>8753</v>
      </c>
      <c r="N7" s="6">
        <v>1108</v>
      </c>
    </row>
    <row r="8" spans="1:14" x14ac:dyDescent="0.25">
      <c r="A8">
        <v>2026</v>
      </c>
      <c r="B8" s="1" t="s">
        <v>21</v>
      </c>
      <c r="C8" s="1" t="s">
        <v>56</v>
      </c>
      <c r="D8" s="63" t="s">
        <v>410</v>
      </c>
      <c r="E8" t="s">
        <v>85</v>
      </c>
      <c r="F8">
        <v>765</v>
      </c>
      <c r="G8">
        <v>195</v>
      </c>
      <c r="H8">
        <v>960</v>
      </c>
      <c r="I8" s="6">
        <v>42245</v>
      </c>
      <c r="J8">
        <v>455</v>
      </c>
      <c r="K8">
        <v>500</v>
      </c>
      <c r="L8" s="6">
        <v>44160</v>
      </c>
      <c r="M8" s="6">
        <v>43010</v>
      </c>
      <c r="N8" s="6">
        <v>1150</v>
      </c>
    </row>
    <row r="9" spans="1:14" x14ac:dyDescent="0.25">
      <c r="A9">
        <v>2026</v>
      </c>
      <c r="B9" s="1" t="s">
        <v>17</v>
      </c>
      <c r="C9" s="1" t="s">
        <v>52</v>
      </c>
      <c r="D9" s="63" t="s">
        <v>411</v>
      </c>
      <c r="E9" t="s">
        <v>86</v>
      </c>
      <c r="F9">
        <v>179</v>
      </c>
      <c r="G9">
        <v>47</v>
      </c>
      <c r="H9">
        <v>226</v>
      </c>
      <c r="I9" s="6">
        <v>19378</v>
      </c>
      <c r="J9" s="6">
        <v>1365</v>
      </c>
      <c r="K9" s="6">
        <v>1501</v>
      </c>
      <c r="L9" s="6">
        <v>22470</v>
      </c>
      <c r="M9" s="6">
        <v>19557</v>
      </c>
      <c r="N9" s="6">
        <v>2913</v>
      </c>
    </row>
    <row r="10" spans="1:14" x14ac:dyDescent="0.25">
      <c r="A10">
        <v>2026</v>
      </c>
      <c r="B10" s="63" t="s">
        <v>15</v>
      </c>
      <c r="C10" s="1" t="s">
        <v>50</v>
      </c>
      <c r="D10" s="63" t="s">
        <v>412</v>
      </c>
      <c r="E10" t="s">
        <v>87</v>
      </c>
      <c r="F10">
        <v>91</v>
      </c>
      <c r="G10">
        <v>25</v>
      </c>
      <c r="H10">
        <v>116</v>
      </c>
      <c r="I10" s="6">
        <v>12273</v>
      </c>
      <c r="J10">
        <v>0</v>
      </c>
      <c r="K10">
        <v>0</v>
      </c>
      <c r="L10" s="6">
        <v>12389</v>
      </c>
      <c r="M10" s="6">
        <v>12364</v>
      </c>
      <c r="N10">
        <v>25</v>
      </c>
    </row>
    <row r="11" spans="1:14" x14ac:dyDescent="0.25">
      <c r="A11">
        <v>2026</v>
      </c>
      <c r="B11" s="63" t="s">
        <v>14</v>
      </c>
      <c r="C11" s="1" t="s">
        <v>49</v>
      </c>
      <c r="D11" s="63" t="s">
        <v>413</v>
      </c>
      <c r="E11" t="s">
        <v>88</v>
      </c>
      <c r="F11">
        <v>0</v>
      </c>
      <c r="G11">
        <v>0</v>
      </c>
      <c r="H11">
        <v>0</v>
      </c>
      <c r="I11" s="6">
        <v>62108</v>
      </c>
      <c r="J11" s="6">
        <v>21170</v>
      </c>
      <c r="K11" s="6">
        <v>23704</v>
      </c>
      <c r="L11" s="6">
        <v>106982</v>
      </c>
      <c r="M11" s="6">
        <v>62108</v>
      </c>
      <c r="N11" s="6">
        <v>44874</v>
      </c>
    </row>
    <row r="12" spans="1:14" x14ac:dyDescent="0.25">
      <c r="A12">
        <v>2026</v>
      </c>
      <c r="B12" s="63" t="s">
        <v>13</v>
      </c>
      <c r="C12" s="1" t="s">
        <v>48</v>
      </c>
      <c r="D12" s="63" t="s">
        <v>414</v>
      </c>
      <c r="E12" t="s">
        <v>89</v>
      </c>
      <c r="F12">
        <v>911</v>
      </c>
      <c r="G12">
        <v>288</v>
      </c>
      <c r="H12" s="6">
        <v>1199</v>
      </c>
      <c r="I12" s="6">
        <v>45938</v>
      </c>
      <c r="J12" s="6">
        <v>10115</v>
      </c>
      <c r="K12" s="6">
        <v>11267</v>
      </c>
      <c r="L12" s="6">
        <v>68519</v>
      </c>
      <c r="M12" s="6">
        <v>46849</v>
      </c>
      <c r="N12" s="6">
        <v>21670</v>
      </c>
    </row>
    <row r="13" spans="1:14" x14ac:dyDescent="0.25">
      <c r="A13">
        <v>2026</v>
      </c>
      <c r="B13" s="63" t="s">
        <v>14</v>
      </c>
      <c r="C13" s="1" t="s">
        <v>49</v>
      </c>
      <c r="D13" s="63" t="s">
        <v>415</v>
      </c>
      <c r="E13" t="s">
        <v>90</v>
      </c>
      <c r="F13">
        <v>0</v>
      </c>
      <c r="G13">
        <v>0</v>
      </c>
      <c r="H13">
        <v>0</v>
      </c>
      <c r="I13" s="6">
        <v>35384</v>
      </c>
      <c r="J13" s="6">
        <v>1176</v>
      </c>
      <c r="K13" s="6">
        <v>1317</v>
      </c>
      <c r="L13" s="6">
        <v>37877</v>
      </c>
      <c r="M13" s="6">
        <v>35384</v>
      </c>
      <c r="N13" s="6">
        <v>2493</v>
      </c>
    </row>
    <row r="14" spans="1:14" x14ac:dyDescent="0.25">
      <c r="A14">
        <v>2026</v>
      </c>
      <c r="B14" s="1" t="s">
        <v>18</v>
      </c>
      <c r="C14" s="1" t="s">
        <v>53</v>
      </c>
      <c r="D14" s="63" t="s">
        <v>416</v>
      </c>
      <c r="E14" t="s">
        <v>91</v>
      </c>
      <c r="F14">
        <v>0</v>
      </c>
      <c r="G14">
        <v>0</v>
      </c>
      <c r="H14">
        <v>0</v>
      </c>
      <c r="I14" s="6">
        <v>151909</v>
      </c>
      <c r="J14" s="6">
        <v>9794</v>
      </c>
      <c r="K14" s="6">
        <v>10763</v>
      </c>
      <c r="L14" s="6">
        <v>172466</v>
      </c>
      <c r="M14" s="6">
        <v>151909</v>
      </c>
      <c r="N14" s="6">
        <v>20557</v>
      </c>
    </row>
    <row r="15" spans="1:14" x14ac:dyDescent="0.25">
      <c r="A15">
        <v>2026</v>
      </c>
      <c r="B15" s="1" t="s">
        <v>17</v>
      </c>
      <c r="C15" s="1" t="s">
        <v>52</v>
      </c>
      <c r="D15" s="63" t="s">
        <v>417</v>
      </c>
      <c r="E15" t="s">
        <v>92</v>
      </c>
      <c r="F15">
        <v>403</v>
      </c>
      <c r="G15">
        <v>105</v>
      </c>
      <c r="H15">
        <v>508</v>
      </c>
      <c r="I15" s="6">
        <v>44979</v>
      </c>
      <c r="J15" s="6">
        <v>4419</v>
      </c>
      <c r="K15" s="6">
        <v>4859</v>
      </c>
      <c r="L15" s="6">
        <v>54765</v>
      </c>
      <c r="M15" s="6">
        <v>45382</v>
      </c>
      <c r="N15" s="6">
        <v>9383</v>
      </c>
    </row>
    <row r="16" spans="1:14" x14ac:dyDescent="0.25">
      <c r="A16">
        <v>2026</v>
      </c>
      <c r="B16" s="63" t="s">
        <v>16</v>
      </c>
      <c r="C16" s="1" t="s">
        <v>51</v>
      </c>
      <c r="D16" s="63" t="s">
        <v>418</v>
      </c>
      <c r="E16" t="s">
        <v>93</v>
      </c>
      <c r="F16">
        <v>116</v>
      </c>
      <c r="G16">
        <v>31</v>
      </c>
      <c r="H16">
        <v>147</v>
      </c>
      <c r="I16" s="6">
        <v>7985</v>
      </c>
      <c r="J16" s="6">
        <v>1879</v>
      </c>
      <c r="K16" s="6">
        <v>2055</v>
      </c>
      <c r="L16" s="6">
        <v>12066</v>
      </c>
      <c r="M16" s="6">
        <v>8101</v>
      </c>
      <c r="N16" s="6">
        <v>3965</v>
      </c>
    </row>
    <row r="17" spans="1:14" x14ac:dyDescent="0.25">
      <c r="A17">
        <v>2026</v>
      </c>
      <c r="B17" s="1" t="s">
        <v>18</v>
      </c>
      <c r="C17" s="1" t="s">
        <v>53</v>
      </c>
      <c r="D17" s="63" t="s">
        <v>419</v>
      </c>
      <c r="E17" t="s">
        <v>94</v>
      </c>
      <c r="F17">
        <v>0</v>
      </c>
      <c r="G17">
        <v>0</v>
      </c>
      <c r="H17">
        <v>0</v>
      </c>
      <c r="I17" s="6">
        <v>415471</v>
      </c>
      <c r="J17" s="6">
        <v>77054</v>
      </c>
      <c r="K17" s="6">
        <v>84681</v>
      </c>
      <c r="L17" s="6">
        <v>577206</v>
      </c>
      <c r="M17" s="6">
        <v>415471</v>
      </c>
      <c r="N17" s="6">
        <v>161735</v>
      </c>
    </row>
    <row r="18" spans="1:14" x14ac:dyDescent="0.25">
      <c r="A18">
        <v>2026</v>
      </c>
      <c r="B18" s="63" t="s">
        <v>15</v>
      </c>
      <c r="C18" s="1" t="s">
        <v>50</v>
      </c>
      <c r="D18" s="63" t="s">
        <v>420</v>
      </c>
      <c r="E18" t="s">
        <v>95</v>
      </c>
      <c r="F18">
        <v>306</v>
      </c>
      <c r="G18">
        <v>85</v>
      </c>
      <c r="H18">
        <v>391</v>
      </c>
      <c r="I18" s="6">
        <v>39441</v>
      </c>
      <c r="J18" s="6">
        <v>1306</v>
      </c>
      <c r="K18" s="6">
        <v>1456</v>
      </c>
      <c r="L18" s="6">
        <v>42594</v>
      </c>
      <c r="M18" s="6">
        <v>39747</v>
      </c>
      <c r="N18" s="6">
        <v>2847</v>
      </c>
    </row>
    <row r="19" spans="1:14" x14ac:dyDescent="0.25">
      <c r="A19">
        <v>2026</v>
      </c>
      <c r="B19" s="1" t="s">
        <v>19</v>
      </c>
      <c r="C19" s="1" t="s">
        <v>54</v>
      </c>
      <c r="D19" s="63" t="s">
        <v>421</v>
      </c>
      <c r="E19" t="s">
        <v>96</v>
      </c>
      <c r="F19">
        <v>163</v>
      </c>
      <c r="G19">
        <v>47</v>
      </c>
      <c r="H19">
        <v>210</v>
      </c>
      <c r="I19" s="6">
        <v>11766</v>
      </c>
      <c r="J19" s="6">
        <v>4373</v>
      </c>
      <c r="K19" s="6">
        <v>4895</v>
      </c>
      <c r="L19" s="6">
        <v>21244</v>
      </c>
      <c r="M19" s="6">
        <v>11929</v>
      </c>
      <c r="N19" s="6">
        <v>9315</v>
      </c>
    </row>
    <row r="20" spans="1:14" x14ac:dyDescent="0.25">
      <c r="A20">
        <v>2026</v>
      </c>
      <c r="B20" s="1" t="s">
        <v>20</v>
      </c>
      <c r="C20" s="1" t="s">
        <v>55</v>
      </c>
      <c r="D20" s="63" t="s">
        <v>422</v>
      </c>
      <c r="E20" t="s">
        <v>97</v>
      </c>
      <c r="F20">
        <v>963</v>
      </c>
      <c r="G20">
        <v>255</v>
      </c>
      <c r="H20" s="6">
        <v>1218</v>
      </c>
      <c r="I20" s="6">
        <v>61361</v>
      </c>
      <c r="J20">
        <v>0</v>
      </c>
      <c r="K20">
        <v>0</v>
      </c>
      <c r="L20" s="6">
        <v>62579</v>
      </c>
      <c r="M20" s="6">
        <v>62324</v>
      </c>
      <c r="N20">
        <v>255</v>
      </c>
    </row>
    <row r="21" spans="1:14" x14ac:dyDescent="0.25">
      <c r="A21">
        <v>2026</v>
      </c>
      <c r="B21" s="1" t="s">
        <v>18</v>
      </c>
      <c r="C21" s="1" t="s">
        <v>53</v>
      </c>
      <c r="D21" s="63" t="s">
        <v>423</v>
      </c>
      <c r="E21" t="s">
        <v>98</v>
      </c>
      <c r="F21">
        <v>0</v>
      </c>
      <c r="G21">
        <v>0</v>
      </c>
      <c r="H21">
        <v>0</v>
      </c>
      <c r="I21" s="6">
        <v>16529</v>
      </c>
      <c r="J21">
        <v>649</v>
      </c>
      <c r="K21">
        <v>713</v>
      </c>
      <c r="L21" s="6">
        <v>17891</v>
      </c>
      <c r="M21" s="6">
        <v>16529</v>
      </c>
      <c r="N21" s="6">
        <v>1362</v>
      </c>
    </row>
    <row r="22" spans="1:14" x14ac:dyDescent="0.25">
      <c r="A22">
        <v>2026</v>
      </c>
      <c r="B22" s="1" t="s">
        <v>18</v>
      </c>
      <c r="C22" s="1" t="s">
        <v>53</v>
      </c>
      <c r="D22" s="63" t="s">
        <v>424</v>
      </c>
      <c r="E22" t="s">
        <v>99</v>
      </c>
      <c r="F22">
        <v>0</v>
      </c>
      <c r="G22">
        <v>0</v>
      </c>
      <c r="H22">
        <v>0</v>
      </c>
      <c r="I22" s="6">
        <v>56916</v>
      </c>
      <c r="J22" s="6">
        <v>2659</v>
      </c>
      <c r="K22" s="6">
        <v>2922</v>
      </c>
      <c r="L22" s="6">
        <v>62497</v>
      </c>
      <c r="M22" s="6">
        <v>56916</v>
      </c>
      <c r="N22" s="6">
        <v>5581</v>
      </c>
    </row>
    <row r="23" spans="1:14" x14ac:dyDescent="0.25">
      <c r="A23">
        <v>2026</v>
      </c>
      <c r="B23" s="1" t="s">
        <v>18</v>
      </c>
      <c r="C23" s="1" t="s">
        <v>53</v>
      </c>
      <c r="D23" s="63" t="s">
        <v>425</v>
      </c>
      <c r="E23" t="s">
        <v>100</v>
      </c>
      <c r="F23">
        <v>0</v>
      </c>
      <c r="G23">
        <v>0</v>
      </c>
      <c r="H23">
        <v>0</v>
      </c>
      <c r="I23" s="6">
        <v>11096</v>
      </c>
      <c r="J23">
        <v>519</v>
      </c>
      <c r="K23">
        <v>570</v>
      </c>
      <c r="L23" s="6">
        <v>12185</v>
      </c>
      <c r="M23" s="6">
        <v>11096</v>
      </c>
      <c r="N23" s="6">
        <v>1089</v>
      </c>
    </row>
    <row r="24" spans="1:14" x14ac:dyDescent="0.25">
      <c r="A24">
        <v>2026</v>
      </c>
      <c r="B24" s="63" t="s">
        <v>15</v>
      </c>
      <c r="C24" s="1" t="s">
        <v>50</v>
      </c>
      <c r="D24" s="63" t="s">
        <v>426</v>
      </c>
      <c r="E24" t="s">
        <v>101</v>
      </c>
      <c r="F24">
        <v>171</v>
      </c>
      <c r="G24">
        <v>48</v>
      </c>
      <c r="H24">
        <v>219</v>
      </c>
      <c r="I24" s="6">
        <v>21957</v>
      </c>
      <c r="J24">
        <v>261</v>
      </c>
      <c r="K24">
        <v>291</v>
      </c>
      <c r="L24" s="6">
        <v>22728</v>
      </c>
      <c r="M24" s="6">
        <v>22128</v>
      </c>
      <c r="N24">
        <v>600</v>
      </c>
    </row>
    <row r="25" spans="1:14" x14ac:dyDescent="0.25">
      <c r="A25">
        <v>2026</v>
      </c>
      <c r="B25" s="1" t="s">
        <v>20</v>
      </c>
      <c r="C25" s="1" t="s">
        <v>55</v>
      </c>
      <c r="D25" s="63" t="s">
        <v>427</v>
      </c>
      <c r="E25" t="s">
        <v>102</v>
      </c>
      <c r="F25">
        <v>317</v>
      </c>
      <c r="G25">
        <v>84</v>
      </c>
      <c r="H25">
        <v>401</v>
      </c>
      <c r="I25" s="6">
        <v>20270</v>
      </c>
      <c r="J25">
        <v>260</v>
      </c>
      <c r="K25">
        <v>287</v>
      </c>
      <c r="L25" s="6">
        <v>21218</v>
      </c>
      <c r="M25" s="6">
        <v>20587</v>
      </c>
      <c r="N25">
        <v>631</v>
      </c>
    </row>
    <row r="26" spans="1:14" x14ac:dyDescent="0.25">
      <c r="A26">
        <v>2026</v>
      </c>
      <c r="B26" s="1" t="s">
        <v>17</v>
      </c>
      <c r="C26" s="1" t="s">
        <v>52</v>
      </c>
      <c r="D26" s="63" t="s">
        <v>428</v>
      </c>
      <c r="E26" t="s">
        <v>103</v>
      </c>
      <c r="F26">
        <v>160</v>
      </c>
      <c r="G26">
        <v>42</v>
      </c>
      <c r="H26">
        <v>202</v>
      </c>
      <c r="I26" s="6">
        <v>17367</v>
      </c>
      <c r="J26">
        <v>455</v>
      </c>
      <c r="K26">
        <v>500</v>
      </c>
      <c r="L26" s="6">
        <v>18524</v>
      </c>
      <c r="M26" s="6">
        <v>17527</v>
      </c>
      <c r="N26">
        <v>997</v>
      </c>
    </row>
    <row r="27" spans="1:14" x14ac:dyDescent="0.25">
      <c r="A27">
        <v>2026</v>
      </c>
      <c r="B27" s="63" t="s">
        <v>16</v>
      </c>
      <c r="C27" s="1" t="s">
        <v>51</v>
      </c>
      <c r="D27" s="63" t="s">
        <v>429</v>
      </c>
      <c r="E27" t="s">
        <v>104</v>
      </c>
      <c r="F27">
        <v>306</v>
      </c>
      <c r="G27">
        <v>83</v>
      </c>
      <c r="H27">
        <v>389</v>
      </c>
      <c r="I27" s="6">
        <v>21216</v>
      </c>
      <c r="J27" s="6">
        <v>11988</v>
      </c>
      <c r="K27" s="6">
        <v>13109</v>
      </c>
      <c r="L27" s="6">
        <v>46702</v>
      </c>
      <c r="M27" s="6">
        <v>21522</v>
      </c>
      <c r="N27" s="6">
        <v>25180</v>
      </c>
    </row>
    <row r="28" spans="1:14" x14ac:dyDescent="0.25">
      <c r="A28">
        <v>2026</v>
      </c>
      <c r="B28" s="63" t="s">
        <v>15</v>
      </c>
      <c r="C28" s="1" t="s">
        <v>50</v>
      </c>
      <c r="D28" s="63" t="s">
        <v>430</v>
      </c>
      <c r="E28" t="s">
        <v>105</v>
      </c>
      <c r="F28">
        <v>270</v>
      </c>
      <c r="G28">
        <v>75</v>
      </c>
      <c r="H28">
        <v>345</v>
      </c>
      <c r="I28" s="6">
        <v>35614</v>
      </c>
      <c r="J28">
        <v>65</v>
      </c>
      <c r="K28">
        <v>73</v>
      </c>
      <c r="L28" s="6">
        <v>36097</v>
      </c>
      <c r="M28" s="6">
        <v>35884</v>
      </c>
      <c r="N28">
        <v>213</v>
      </c>
    </row>
    <row r="29" spans="1:14" x14ac:dyDescent="0.25">
      <c r="A29">
        <v>2026</v>
      </c>
      <c r="B29" s="63" t="s">
        <v>16</v>
      </c>
      <c r="C29" s="1" t="s">
        <v>51</v>
      </c>
      <c r="D29" s="63" t="s">
        <v>431</v>
      </c>
      <c r="E29" t="s">
        <v>106</v>
      </c>
      <c r="F29">
        <v>86</v>
      </c>
      <c r="G29">
        <v>23</v>
      </c>
      <c r="H29">
        <v>109</v>
      </c>
      <c r="I29" s="6">
        <v>5879</v>
      </c>
      <c r="J29">
        <v>324</v>
      </c>
      <c r="K29">
        <v>354</v>
      </c>
      <c r="L29" s="6">
        <v>6666</v>
      </c>
      <c r="M29" s="6">
        <v>5965</v>
      </c>
      <c r="N29">
        <v>701</v>
      </c>
    </row>
    <row r="30" spans="1:14" x14ac:dyDescent="0.25">
      <c r="A30">
        <v>2026</v>
      </c>
      <c r="B30" s="1" t="s">
        <v>17</v>
      </c>
      <c r="C30" s="1" t="s">
        <v>52</v>
      </c>
      <c r="D30" s="63" t="s">
        <v>432</v>
      </c>
      <c r="E30" t="s">
        <v>107</v>
      </c>
      <c r="F30">
        <v>497</v>
      </c>
      <c r="G30">
        <v>130</v>
      </c>
      <c r="H30">
        <v>627</v>
      </c>
      <c r="I30" s="6">
        <v>53384</v>
      </c>
      <c r="J30" s="6">
        <v>9097</v>
      </c>
      <c r="K30" s="6">
        <v>10004</v>
      </c>
      <c r="L30" s="6">
        <v>73112</v>
      </c>
      <c r="M30" s="6">
        <v>53881</v>
      </c>
      <c r="N30" s="6">
        <v>19231</v>
      </c>
    </row>
    <row r="31" spans="1:14" x14ac:dyDescent="0.25">
      <c r="A31">
        <v>2026</v>
      </c>
      <c r="B31" s="63" t="s">
        <v>16</v>
      </c>
      <c r="C31" s="1" t="s">
        <v>51</v>
      </c>
      <c r="D31" s="63" t="s">
        <v>433</v>
      </c>
      <c r="E31" t="s">
        <v>108</v>
      </c>
      <c r="F31" s="6">
        <v>2037</v>
      </c>
      <c r="G31">
        <v>547</v>
      </c>
      <c r="H31" s="6">
        <v>2584</v>
      </c>
      <c r="I31" s="6">
        <v>141167</v>
      </c>
      <c r="J31" s="6">
        <v>26309</v>
      </c>
      <c r="K31" s="6">
        <v>28769</v>
      </c>
      <c r="L31" s="6">
        <v>198829</v>
      </c>
      <c r="M31" s="6">
        <v>143204</v>
      </c>
      <c r="N31" s="6">
        <v>55625</v>
      </c>
    </row>
    <row r="32" spans="1:14" x14ac:dyDescent="0.25">
      <c r="A32">
        <v>2026</v>
      </c>
      <c r="B32" s="1" t="s">
        <v>18</v>
      </c>
      <c r="C32" s="1" t="s">
        <v>53</v>
      </c>
      <c r="D32" s="63" t="s">
        <v>434</v>
      </c>
      <c r="E32" t="s">
        <v>109</v>
      </c>
      <c r="F32">
        <v>0</v>
      </c>
      <c r="G32">
        <v>0</v>
      </c>
      <c r="H32">
        <v>0</v>
      </c>
      <c r="I32" s="6">
        <v>87102</v>
      </c>
      <c r="J32" s="6">
        <v>5189</v>
      </c>
      <c r="K32" s="6">
        <v>5702</v>
      </c>
      <c r="L32" s="6">
        <v>97993</v>
      </c>
      <c r="M32" s="6">
        <v>87102</v>
      </c>
      <c r="N32" s="6">
        <v>10891</v>
      </c>
    </row>
    <row r="33" spans="1:14" x14ac:dyDescent="0.25">
      <c r="A33">
        <v>2026</v>
      </c>
      <c r="B33" s="1" t="s">
        <v>18</v>
      </c>
      <c r="C33" s="1" t="s">
        <v>53</v>
      </c>
      <c r="D33" s="63" t="s">
        <v>435</v>
      </c>
      <c r="E33" t="s">
        <v>110</v>
      </c>
      <c r="F33">
        <v>0</v>
      </c>
      <c r="G33">
        <v>0</v>
      </c>
      <c r="H33">
        <v>0</v>
      </c>
      <c r="I33" s="6">
        <v>68529</v>
      </c>
      <c r="J33" s="6">
        <v>10832</v>
      </c>
      <c r="K33" s="6">
        <v>11904</v>
      </c>
      <c r="L33" s="6">
        <v>91265</v>
      </c>
      <c r="M33" s="6">
        <v>68529</v>
      </c>
      <c r="N33" s="6">
        <v>22736</v>
      </c>
    </row>
    <row r="34" spans="1:14" x14ac:dyDescent="0.25">
      <c r="A34">
        <v>2026</v>
      </c>
      <c r="B34" s="1" t="s">
        <v>19</v>
      </c>
      <c r="C34" s="1" t="s">
        <v>54</v>
      </c>
      <c r="D34" s="63" t="s">
        <v>436</v>
      </c>
      <c r="E34" t="s">
        <v>111</v>
      </c>
      <c r="F34">
        <v>323</v>
      </c>
      <c r="G34">
        <v>93</v>
      </c>
      <c r="H34">
        <v>416</v>
      </c>
      <c r="I34" s="6">
        <v>22432</v>
      </c>
      <c r="J34" s="6">
        <v>26043</v>
      </c>
      <c r="K34" s="6">
        <v>29151</v>
      </c>
      <c r="L34" s="6">
        <v>78042</v>
      </c>
      <c r="M34" s="6">
        <v>22755</v>
      </c>
      <c r="N34" s="6">
        <v>55287</v>
      </c>
    </row>
    <row r="35" spans="1:14" x14ac:dyDescent="0.25">
      <c r="A35">
        <v>2026</v>
      </c>
      <c r="B35" s="1" t="s">
        <v>20</v>
      </c>
      <c r="C35" s="1" t="s">
        <v>55</v>
      </c>
      <c r="D35" s="1" t="s">
        <v>437</v>
      </c>
      <c r="E35" t="s">
        <v>112</v>
      </c>
      <c r="F35">
        <v>246</v>
      </c>
      <c r="G35">
        <v>65</v>
      </c>
      <c r="H35">
        <v>311</v>
      </c>
      <c r="I35" s="6">
        <v>15692</v>
      </c>
      <c r="J35">
        <v>195</v>
      </c>
      <c r="K35">
        <v>216</v>
      </c>
      <c r="L35" s="6">
        <v>16414</v>
      </c>
      <c r="M35" s="6">
        <v>15938</v>
      </c>
      <c r="N35">
        <v>476</v>
      </c>
    </row>
    <row r="36" spans="1:14" x14ac:dyDescent="0.25">
      <c r="A36">
        <v>2026</v>
      </c>
      <c r="B36" s="63" t="s">
        <v>15</v>
      </c>
      <c r="C36" s="1" t="s">
        <v>50</v>
      </c>
      <c r="D36" s="63" t="s">
        <v>438</v>
      </c>
      <c r="E36" t="s">
        <v>113</v>
      </c>
      <c r="F36">
        <v>201</v>
      </c>
      <c r="G36">
        <v>56</v>
      </c>
      <c r="H36">
        <v>257</v>
      </c>
      <c r="I36" s="6">
        <v>25783</v>
      </c>
      <c r="J36">
        <v>0</v>
      </c>
      <c r="K36">
        <v>0</v>
      </c>
      <c r="L36" s="6">
        <v>26040</v>
      </c>
      <c r="M36" s="6">
        <v>25984</v>
      </c>
      <c r="N36">
        <v>56</v>
      </c>
    </row>
    <row r="37" spans="1:14" x14ac:dyDescent="0.25">
      <c r="A37">
        <v>2026</v>
      </c>
      <c r="B37" s="1" t="s">
        <v>21</v>
      </c>
      <c r="C37" s="1" t="s">
        <v>56</v>
      </c>
      <c r="D37" s="63" t="s">
        <v>439</v>
      </c>
      <c r="E37" t="s">
        <v>114</v>
      </c>
      <c r="F37" s="6">
        <v>2788</v>
      </c>
      <c r="G37">
        <v>711</v>
      </c>
      <c r="H37" s="6">
        <v>3499</v>
      </c>
      <c r="I37" s="6">
        <v>154724</v>
      </c>
      <c r="J37" s="6">
        <v>20852</v>
      </c>
      <c r="K37" s="6">
        <v>22929</v>
      </c>
      <c r="L37" s="6">
        <v>202004</v>
      </c>
      <c r="M37" s="6">
        <v>157512</v>
      </c>
      <c r="N37" s="6">
        <v>44492</v>
      </c>
    </row>
    <row r="38" spans="1:14" x14ac:dyDescent="0.25">
      <c r="A38">
        <v>2026</v>
      </c>
      <c r="B38" s="63" t="s">
        <v>15</v>
      </c>
      <c r="C38" s="1" t="s">
        <v>50</v>
      </c>
      <c r="D38" s="63" t="s">
        <v>440</v>
      </c>
      <c r="E38" t="s">
        <v>115</v>
      </c>
      <c r="F38">
        <v>110</v>
      </c>
      <c r="G38">
        <v>31</v>
      </c>
      <c r="H38">
        <v>141</v>
      </c>
      <c r="I38" s="6">
        <v>14226</v>
      </c>
      <c r="J38" s="6">
        <v>1567</v>
      </c>
      <c r="K38" s="6">
        <v>1747</v>
      </c>
      <c r="L38" s="6">
        <v>17681</v>
      </c>
      <c r="M38" s="6">
        <v>14336</v>
      </c>
      <c r="N38" s="6">
        <v>3345</v>
      </c>
    </row>
    <row r="39" spans="1:14" x14ac:dyDescent="0.25">
      <c r="A39">
        <v>2026</v>
      </c>
      <c r="B39" s="63" t="s">
        <v>16</v>
      </c>
      <c r="C39" s="1" t="s">
        <v>51</v>
      </c>
      <c r="D39" s="63" t="s">
        <v>441</v>
      </c>
      <c r="E39" t="s">
        <v>116</v>
      </c>
      <c r="F39">
        <v>188</v>
      </c>
      <c r="G39">
        <v>50</v>
      </c>
      <c r="H39">
        <v>238</v>
      </c>
      <c r="I39" s="6">
        <v>13039</v>
      </c>
      <c r="J39">
        <v>259</v>
      </c>
      <c r="K39">
        <v>283</v>
      </c>
      <c r="L39" s="6">
        <v>13819</v>
      </c>
      <c r="M39" s="6">
        <v>13227</v>
      </c>
      <c r="N39">
        <v>592</v>
      </c>
    </row>
    <row r="40" spans="1:14" x14ac:dyDescent="0.25">
      <c r="A40">
        <v>2026</v>
      </c>
      <c r="B40" s="1" t="s">
        <v>20</v>
      </c>
      <c r="C40" s="1" t="s">
        <v>55</v>
      </c>
      <c r="D40" s="63" t="s">
        <v>442</v>
      </c>
      <c r="E40" t="s">
        <v>117</v>
      </c>
      <c r="F40">
        <v>270</v>
      </c>
      <c r="G40">
        <v>72</v>
      </c>
      <c r="H40">
        <v>342</v>
      </c>
      <c r="I40" s="6">
        <v>17769</v>
      </c>
      <c r="J40">
        <v>130</v>
      </c>
      <c r="K40">
        <v>144</v>
      </c>
      <c r="L40" s="6">
        <v>18385</v>
      </c>
      <c r="M40" s="6">
        <v>18039</v>
      </c>
      <c r="N40">
        <v>346</v>
      </c>
    </row>
    <row r="41" spans="1:14" x14ac:dyDescent="0.25">
      <c r="A41">
        <v>2026</v>
      </c>
      <c r="B41" s="63" t="s">
        <v>16</v>
      </c>
      <c r="C41" s="1" t="s">
        <v>51</v>
      </c>
      <c r="D41" s="63" t="s">
        <v>443</v>
      </c>
      <c r="E41" t="s">
        <v>118</v>
      </c>
      <c r="F41">
        <v>433</v>
      </c>
      <c r="G41">
        <v>117</v>
      </c>
      <c r="H41">
        <v>550</v>
      </c>
      <c r="I41" s="6">
        <v>29824</v>
      </c>
      <c r="J41" s="6">
        <v>1231</v>
      </c>
      <c r="K41" s="6">
        <v>1346</v>
      </c>
      <c r="L41" s="6">
        <v>32951</v>
      </c>
      <c r="M41" s="6">
        <v>30257</v>
      </c>
      <c r="N41" s="6">
        <v>2694</v>
      </c>
    </row>
    <row r="42" spans="1:14" x14ac:dyDescent="0.25">
      <c r="A42">
        <v>2026</v>
      </c>
      <c r="B42" s="1" t="s">
        <v>21</v>
      </c>
      <c r="C42" s="1" t="s">
        <v>56</v>
      </c>
      <c r="D42" s="63" t="s">
        <v>444</v>
      </c>
      <c r="E42" t="s">
        <v>119</v>
      </c>
      <c r="F42">
        <v>403</v>
      </c>
      <c r="G42">
        <v>103</v>
      </c>
      <c r="H42">
        <v>506</v>
      </c>
      <c r="I42" s="6">
        <v>22280</v>
      </c>
      <c r="J42">
        <v>195</v>
      </c>
      <c r="K42">
        <v>214</v>
      </c>
      <c r="L42" s="6">
        <v>23195</v>
      </c>
      <c r="M42" s="6">
        <v>22683</v>
      </c>
      <c r="N42">
        <v>512</v>
      </c>
    </row>
    <row r="43" spans="1:14" x14ac:dyDescent="0.25">
      <c r="A43">
        <v>2026</v>
      </c>
      <c r="B43" s="1" t="s">
        <v>18</v>
      </c>
      <c r="C43" s="1" t="s">
        <v>53</v>
      </c>
      <c r="D43" s="63" t="s">
        <v>445</v>
      </c>
      <c r="E43" t="s">
        <v>120</v>
      </c>
      <c r="F43">
        <v>0</v>
      </c>
      <c r="G43">
        <v>0</v>
      </c>
      <c r="H43">
        <v>0</v>
      </c>
      <c r="I43" s="6">
        <v>63251</v>
      </c>
      <c r="J43" s="6">
        <v>4410</v>
      </c>
      <c r="K43" s="6">
        <v>4847</v>
      </c>
      <c r="L43" s="6">
        <v>72508</v>
      </c>
      <c r="M43" s="6">
        <v>63251</v>
      </c>
      <c r="N43" s="6">
        <v>9257</v>
      </c>
    </row>
    <row r="44" spans="1:14" x14ac:dyDescent="0.25">
      <c r="A44">
        <v>2026</v>
      </c>
      <c r="B44" s="1" t="s">
        <v>18</v>
      </c>
      <c r="C44" s="1" t="s">
        <v>53</v>
      </c>
      <c r="D44" s="63" t="s">
        <v>446</v>
      </c>
      <c r="E44" t="s">
        <v>121</v>
      </c>
      <c r="F44">
        <v>0</v>
      </c>
      <c r="G44">
        <v>0</v>
      </c>
      <c r="H44">
        <v>0</v>
      </c>
      <c r="I44" s="6">
        <v>54143</v>
      </c>
      <c r="J44" s="6">
        <v>61422</v>
      </c>
      <c r="K44" s="6">
        <v>67502</v>
      </c>
      <c r="L44" s="6">
        <v>183067</v>
      </c>
      <c r="M44" s="6">
        <v>54143</v>
      </c>
      <c r="N44" s="6">
        <v>128924</v>
      </c>
    </row>
    <row r="45" spans="1:14" x14ac:dyDescent="0.25">
      <c r="A45">
        <v>2026</v>
      </c>
      <c r="B45" s="63" t="s">
        <v>15</v>
      </c>
      <c r="C45" s="1" t="s">
        <v>50</v>
      </c>
      <c r="D45" s="1" t="s">
        <v>447</v>
      </c>
      <c r="E45" t="s">
        <v>122</v>
      </c>
      <c r="F45" s="6">
        <v>2114</v>
      </c>
      <c r="G45">
        <v>586</v>
      </c>
      <c r="H45" s="6">
        <v>2700</v>
      </c>
      <c r="I45" s="6">
        <v>271292</v>
      </c>
      <c r="J45" s="6">
        <v>25267</v>
      </c>
      <c r="K45" s="6">
        <v>28166</v>
      </c>
      <c r="L45" s="6">
        <v>327425</v>
      </c>
      <c r="M45" s="6">
        <v>273406</v>
      </c>
      <c r="N45" s="6">
        <v>54019</v>
      </c>
    </row>
    <row r="46" spans="1:14" x14ac:dyDescent="0.25">
      <c r="A46">
        <v>2026</v>
      </c>
      <c r="B46" s="1" t="s">
        <v>17</v>
      </c>
      <c r="C46" s="1" t="s">
        <v>52</v>
      </c>
      <c r="D46" s="1" t="s">
        <v>448</v>
      </c>
      <c r="E46" t="s">
        <v>123</v>
      </c>
      <c r="F46" s="6">
        <v>5710</v>
      </c>
      <c r="G46" s="6">
        <v>1493</v>
      </c>
      <c r="H46" s="6">
        <v>7203</v>
      </c>
      <c r="I46" s="6">
        <v>615854</v>
      </c>
      <c r="J46" s="6">
        <v>134704</v>
      </c>
      <c r="K46" s="6">
        <v>148137</v>
      </c>
      <c r="L46" s="6">
        <v>905898</v>
      </c>
      <c r="M46" s="6">
        <v>621564</v>
      </c>
      <c r="N46" s="6">
        <v>284334</v>
      </c>
    </row>
    <row r="47" spans="1:14" x14ac:dyDescent="0.25">
      <c r="A47">
        <v>2026</v>
      </c>
      <c r="B47" s="1" t="s">
        <v>17</v>
      </c>
      <c r="C47" s="1" t="s">
        <v>52</v>
      </c>
      <c r="D47" s="1" t="s">
        <v>449</v>
      </c>
      <c r="E47" t="s">
        <v>124</v>
      </c>
      <c r="F47">
        <v>375</v>
      </c>
      <c r="G47">
        <v>98</v>
      </c>
      <c r="H47">
        <v>473</v>
      </c>
      <c r="I47" s="6">
        <v>41321</v>
      </c>
      <c r="J47">
        <v>585</v>
      </c>
      <c r="K47">
        <v>643</v>
      </c>
      <c r="L47" s="6">
        <v>43022</v>
      </c>
      <c r="M47" s="6">
        <v>41696</v>
      </c>
      <c r="N47" s="6">
        <v>1326</v>
      </c>
    </row>
    <row r="48" spans="1:14" x14ac:dyDescent="0.25">
      <c r="A48">
        <v>2026</v>
      </c>
      <c r="B48" s="1" t="s">
        <v>21</v>
      </c>
      <c r="C48" s="1" t="s">
        <v>56</v>
      </c>
      <c r="D48" s="1" t="s">
        <v>450</v>
      </c>
      <c r="E48" t="s">
        <v>125</v>
      </c>
      <c r="F48">
        <v>908</v>
      </c>
      <c r="G48">
        <v>232</v>
      </c>
      <c r="H48" s="6">
        <v>1140</v>
      </c>
      <c r="I48" s="6">
        <v>51689</v>
      </c>
      <c r="J48">
        <v>0</v>
      </c>
      <c r="K48">
        <v>0</v>
      </c>
      <c r="L48" s="6">
        <v>52829</v>
      </c>
      <c r="M48" s="6">
        <v>52597</v>
      </c>
      <c r="N48">
        <v>232</v>
      </c>
    </row>
    <row r="49" spans="1:14" x14ac:dyDescent="0.25">
      <c r="A49">
        <v>2026</v>
      </c>
      <c r="B49" s="1" t="s">
        <v>17</v>
      </c>
      <c r="C49" s="1" t="s">
        <v>52</v>
      </c>
      <c r="D49" s="1" t="s">
        <v>451</v>
      </c>
      <c r="E49" t="s">
        <v>126</v>
      </c>
      <c r="F49">
        <v>138</v>
      </c>
      <c r="G49">
        <v>36</v>
      </c>
      <c r="H49">
        <v>174</v>
      </c>
      <c r="I49" s="6">
        <v>14881</v>
      </c>
      <c r="J49">
        <v>715</v>
      </c>
      <c r="K49">
        <v>786</v>
      </c>
      <c r="L49" s="6">
        <v>16556</v>
      </c>
      <c r="M49" s="6">
        <v>15019</v>
      </c>
      <c r="N49" s="6">
        <v>1537</v>
      </c>
    </row>
    <row r="50" spans="1:14" x14ac:dyDescent="0.25">
      <c r="A50">
        <v>2026</v>
      </c>
      <c r="B50" s="63" t="s">
        <v>13</v>
      </c>
      <c r="C50" s="1" t="s">
        <v>48</v>
      </c>
      <c r="D50" s="1" t="s">
        <v>452</v>
      </c>
      <c r="E50" t="s">
        <v>127</v>
      </c>
      <c r="F50">
        <v>373</v>
      </c>
      <c r="G50">
        <v>117</v>
      </c>
      <c r="H50">
        <v>490</v>
      </c>
      <c r="I50" s="6">
        <v>18980</v>
      </c>
      <c r="J50">
        <v>0</v>
      </c>
      <c r="K50">
        <v>0</v>
      </c>
      <c r="L50" s="6">
        <v>19470</v>
      </c>
      <c r="M50" s="6">
        <v>19353</v>
      </c>
      <c r="N50">
        <v>117</v>
      </c>
    </row>
    <row r="51" spans="1:14" x14ac:dyDescent="0.25">
      <c r="A51">
        <v>2026</v>
      </c>
      <c r="B51" s="63" t="s">
        <v>16</v>
      </c>
      <c r="C51" s="1" t="s">
        <v>51</v>
      </c>
      <c r="D51" s="1" t="s">
        <v>453</v>
      </c>
      <c r="E51" t="s">
        <v>128</v>
      </c>
      <c r="F51">
        <v>773</v>
      </c>
      <c r="G51">
        <v>207</v>
      </c>
      <c r="H51">
        <v>980</v>
      </c>
      <c r="I51" s="6">
        <v>53280</v>
      </c>
      <c r="J51" s="6">
        <v>10498</v>
      </c>
      <c r="K51" s="6">
        <v>11479</v>
      </c>
      <c r="L51" s="6">
        <v>76237</v>
      </c>
      <c r="M51" s="6">
        <v>54053</v>
      </c>
      <c r="N51" s="6">
        <v>22184</v>
      </c>
    </row>
    <row r="52" spans="1:14" x14ac:dyDescent="0.25">
      <c r="A52">
        <v>2026</v>
      </c>
      <c r="B52" s="1" t="s">
        <v>20</v>
      </c>
      <c r="C52" s="1" t="s">
        <v>55</v>
      </c>
      <c r="D52" s="1" t="s">
        <v>454</v>
      </c>
      <c r="E52" t="s">
        <v>129</v>
      </c>
      <c r="F52">
        <v>403</v>
      </c>
      <c r="G52">
        <v>107</v>
      </c>
      <c r="H52">
        <v>510</v>
      </c>
      <c r="I52" s="6">
        <v>26451</v>
      </c>
      <c r="J52">
        <v>65</v>
      </c>
      <c r="K52">
        <v>72</v>
      </c>
      <c r="L52" s="6">
        <v>27098</v>
      </c>
      <c r="M52" s="6">
        <v>26854</v>
      </c>
      <c r="N52">
        <v>244</v>
      </c>
    </row>
    <row r="53" spans="1:14" x14ac:dyDescent="0.25">
      <c r="A53">
        <v>2026</v>
      </c>
      <c r="B53" s="1" t="s">
        <v>21</v>
      </c>
      <c r="C53" s="1" t="s">
        <v>56</v>
      </c>
      <c r="D53" s="1" t="s">
        <v>455</v>
      </c>
      <c r="E53" t="s">
        <v>130</v>
      </c>
      <c r="F53">
        <v>596</v>
      </c>
      <c r="G53">
        <v>152</v>
      </c>
      <c r="H53">
        <v>748</v>
      </c>
      <c r="I53" s="6">
        <v>32999</v>
      </c>
      <c r="J53" s="6">
        <v>1429</v>
      </c>
      <c r="K53" s="6">
        <v>1571</v>
      </c>
      <c r="L53" s="6">
        <v>36747</v>
      </c>
      <c r="M53" s="6">
        <v>33595</v>
      </c>
      <c r="N53" s="6">
        <v>3152</v>
      </c>
    </row>
    <row r="54" spans="1:14" x14ac:dyDescent="0.25">
      <c r="A54">
        <v>2026</v>
      </c>
      <c r="B54" s="1" t="s">
        <v>19</v>
      </c>
      <c r="C54" s="1" t="s">
        <v>54</v>
      </c>
      <c r="D54" s="1" t="s">
        <v>456</v>
      </c>
      <c r="E54" t="s">
        <v>131</v>
      </c>
      <c r="F54">
        <v>414</v>
      </c>
      <c r="G54">
        <v>120</v>
      </c>
      <c r="H54">
        <v>534</v>
      </c>
      <c r="I54" s="6">
        <v>29848</v>
      </c>
      <c r="J54" s="6">
        <v>9856</v>
      </c>
      <c r="K54" s="6">
        <v>11032</v>
      </c>
      <c r="L54" s="6">
        <v>51270</v>
      </c>
      <c r="M54" s="6">
        <v>30262</v>
      </c>
      <c r="N54" s="6">
        <v>21008</v>
      </c>
    </row>
    <row r="55" spans="1:14" x14ac:dyDescent="0.25">
      <c r="A55">
        <v>2026</v>
      </c>
      <c r="B55" s="63" t="s">
        <v>15</v>
      </c>
      <c r="C55" s="1" t="s">
        <v>50</v>
      </c>
      <c r="D55" s="1" t="s">
        <v>457</v>
      </c>
      <c r="E55" t="s">
        <v>132</v>
      </c>
      <c r="F55">
        <v>295</v>
      </c>
      <c r="G55">
        <v>82</v>
      </c>
      <c r="H55">
        <v>377</v>
      </c>
      <c r="I55" s="6">
        <v>37939</v>
      </c>
      <c r="J55" s="6">
        <v>2938</v>
      </c>
      <c r="K55" s="6">
        <v>3275</v>
      </c>
      <c r="L55" s="6">
        <v>44529</v>
      </c>
      <c r="M55" s="6">
        <v>38234</v>
      </c>
      <c r="N55" s="6">
        <v>6295</v>
      </c>
    </row>
    <row r="56" spans="1:14" x14ac:dyDescent="0.25">
      <c r="A56">
        <v>2026</v>
      </c>
      <c r="B56" s="1" t="s">
        <v>21</v>
      </c>
      <c r="C56" s="1" t="s">
        <v>56</v>
      </c>
      <c r="D56" s="1" t="s">
        <v>458</v>
      </c>
      <c r="E56" t="s">
        <v>133</v>
      </c>
      <c r="F56">
        <v>930</v>
      </c>
      <c r="G56">
        <v>238</v>
      </c>
      <c r="H56" s="6">
        <v>1168</v>
      </c>
      <c r="I56" s="6">
        <v>51499</v>
      </c>
      <c r="J56">
        <v>520</v>
      </c>
      <c r="K56">
        <v>571</v>
      </c>
      <c r="L56" s="6">
        <v>53758</v>
      </c>
      <c r="M56" s="6">
        <v>52429</v>
      </c>
      <c r="N56" s="6">
        <v>1329</v>
      </c>
    </row>
    <row r="57" spans="1:14" x14ac:dyDescent="0.25">
      <c r="A57">
        <v>2026</v>
      </c>
      <c r="B57" s="63" t="s">
        <v>15</v>
      </c>
      <c r="C57" s="1" t="s">
        <v>50</v>
      </c>
      <c r="D57" s="1" t="s">
        <v>459</v>
      </c>
      <c r="E57" t="s">
        <v>134</v>
      </c>
      <c r="F57">
        <v>580</v>
      </c>
      <c r="G57">
        <v>160</v>
      </c>
      <c r="H57">
        <v>740</v>
      </c>
      <c r="I57" s="6">
        <v>75584</v>
      </c>
      <c r="J57" s="6">
        <v>14951</v>
      </c>
      <c r="K57" s="6">
        <v>16667</v>
      </c>
      <c r="L57" s="6">
        <v>107942</v>
      </c>
      <c r="M57" s="6">
        <v>76164</v>
      </c>
      <c r="N57" s="6">
        <v>31778</v>
      </c>
    </row>
    <row r="58" spans="1:14" x14ac:dyDescent="0.25">
      <c r="A58">
        <v>2026</v>
      </c>
      <c r="B58" s="1" t="s">
        <v>19</v>
      </c>
      <c r="C58" s="1" t="s">
        <v>54</v>
      </c>
      <c r="D58" s="1" t="s">
        <v>460</v>
      </c>
      <c r="E58" t="s">
        <v>135</v>
      </c>
      <c r="F58">
        <v>177</v>
      </c>
      <c r="G58">
        <v>51</v>
      </c>
      <c r="H58">
        <v>228</v>
      </c>
      <c r="I58" s="6">
        <v>12221</v>
      </c>
      <c r="J58">
        <v>261</v>
      </c>
      <c r="K58">
        <v>292</v>
      </c>
      <c r="L58" s="6">
        <v>13002</v>
      </c>
      <c r="M58" s="6">
        <v>12398</v>
      </c>
      <c r="N58">
        <v>604</v>
      </c>
    </row>
    <row r="59" spans="1:14" x14ac:dyDescent="0.25">
      <c r="A59">
        <v>2026</v>
      </c>
      <c r="B59" s="1" t="s">
        <v>19</v>
      </c>
      <c r="C59" s="1" t="s">
        <v>54</v>
      </c>
      <c r="D59" s="1" t="s">
        <v>461</v>
      </c>
      <c r="E59" t="s">
        <v>136</v>
      </c>
      <c r="F59">
        <v>615</v>
      </c>
      <c r="G59">
        <v>178</v>
      </c>
      <c r="H59">
        <v>793</v>
      </c>
      <c r="I59" s="6">
        <v>42693</v>
      </c>
      <c r="J59">
        <v>392</v>
      </c>
      <c r="K59">
        <v>438</v>
      </c>
      <c r="L59" s="6">
        <v>44316</v>
      </c>
      <c r="M59" s="6">
        <v>43308</v>
      </c>
      <c r="N59" s="6">
        <v>1008</v>
      </c>
    </row>
    <row r="60" spans="1:14" x14ac:dyDescent="0.25">
      <c r="A60">
        <v>2026</v>
      </c>
      <c r="B60" s="1" t="s">
        <v>20</v>
      </c>
      <c r="C60" s="1" t="s">
        <v>55</v>
      </c>
      <c r="D60" s="1" t="s">
        <v>462</v>
      </c>
      <c r="E60" t="s">
        <v>137</v>
      </c>
      <c r="F60">
        <v>607</v>
      </c>
      <c r="G60">
        <v>161</v>
      </c>
      <c r="H60">
        <v>768</v>
      </c>
      <c r="I60" s="6">
        <v>38573</v>
      </c>
      <c r="J60" s="6">
        <v>3769</v>
      </c>
      <c r="K60" s="6">
        <v>4168</v>
      </c>
      <c r="L60" s="6">
        <v>47278</v>
      </c>
      <c r="M60" s="6">
        <v>39180</v>
      </c>
      <c r="N60" s="6">
        <v>8098</v>
      </c>
    </row>
    <row r="61" spans="1:14" x14ac:dyDescent="0.25">
      <c r="A61">
        <v>2026</v>
      </c>
      <c r="B61" s="63" t="s">
        <v>14</v>
      </c>
      <c r="C61" s="1" t="s">
        <v>49</v>
      </c>
      <c r="D61" s="1" t="s">
        <v>463</v>
      </c>
      <c r="E61" t="s">
        <v>138</v>
      </c>
      <c r="F61">
        <v>0</v>
      </c>
      <c r="G61">
        <v>0</v>
      </c>
      <c r="H61">
        <v>0</v>
      </c>
      <c r="I61" s="6">
        <v>41020</v>
      </c>
      <c r="J61">
        <v>327</v>
      </c>
      <c r="K61">
        <v>366</v>
      </c>
      <c r="L61" s="6">
        <v>41713</v>
      </c>
      <c r="M61" s="6">
        <v>41020</v>
      </c>
      <c r="N61">
        <v>693</v>
      </c>
    </row>
    <row r="62" spans="1:14" x14ac:dyDescent="0.25">
      <c r="A62">
        <v>2026</v>
      </c>
      <c r="B62" s="1" t="s">
        <v>20</v>
      </c>
      <c r="C62" s="1" t="s">
        <v>55</v>
      </c>
      <c r="D62" s="1" t="s">
        <v>464</v>
      </c>
      <c r="E62" t="s">
        <v>139</v>
      </c>
      <c r="F62">
        <v>941</v>
      </c>
      <c r="G62">
        <v>249</v>
      </c>
      <c r="H62" s="6">
        <v>1190</v>
      </c>
      <c r="I62" s="6">
        <v>59892</v>
      </c>
      <c r="J62">
        <v>390</v>
      </c>
      <c r="K62">
        <v>431</v>
      </c>
      <c r="L62" s="6">
        <v>61903</v>
      </c>
      <c r="M62" s="6">
        <v>60833</v>
      </c>
      <c r="N62" s="6">
        <v>1070</v>
      </c>
    </row>
    <row r="63" spans="1:14" x14ac:dyDescent="0.25">
      <c r="A63">
        <v>2026</v>
      </c>
      <c r="B63" s="63" t="s">
        <v>15</v>
      </c>
      <c r="C63" s="1" t="s">
        <v>50</v>
      </c>
      <c r="D63" s="1" t="s">
        <v>465</v>
      </c>
      <c r="E63" t="s">
        <v>140</v>
      </c>
      <c r="F63">
        <v>110</v>
      </c>
      <c r="G63">
        <v>31</v>
      </c>
      <c r="H63">
        <v>141</v>
      </c>
      <c r="I63" s="6">
        <v>14249</v>
      </c>
      <c r="J63">
        <v>326</v>
      </c>
      <c r="K63">
        <v>364</v>
      </c>
      <c r="L63" s="6">
        <v>15080</v>
      </c>
      <c r="M63" s="6">
        <v>14359</v>
      </c>
      <c r="N63">
        <v>721</v>
      </c>
    </row>
    <row r="64" spans="1:14" x14ac:dyDescent="0.25">
      <c r="A64">
        <v>2026</v>
      </c>
      <c r="B64" s="63" t="s">
        <v>14</v>
      </c>
      <c r="C64" s="1" t="s">
        <v>49</v>
      </c>
      <c r="D64" s="1" t="s">
        <v>466</v>
      </c>
      <c r="E64" t="s">
        <v>141</v>
      </c>
      <c r="F64">
        <v>0</v>
      </c>
      <c r="G64">
        <v>0</v>
      </c>
      <c r="H64">
        <v>0</v>
      </c>
      <c r="I64" s="6">
        <v>11217</v>
      </c>
      <c r="J64" s="6">
        <v>2287</v>
      </c>
      <c r="K64" s="6">
        <v>2561</v>
      </c>
      <c r="L64" s="6">
        <v>16065</v>
      </c>
      <c r="M64" s="6">
        <v>11217</v>
      </c>
      <c r="N64" s="6">
        <v>4848</v>
      </c>
    </row>
    <row r="65" spans="1:14" x14ac:dyDescent="0.25">
      <c r="A65">
        <v>2026</v>
      </c>
      <c r="B65" s="63" t="s">
        <v>13</v>
      </c>
      <c r="C65" s="1" t="s">
        <v>48</v>
      </c>
      <c r="D65" s="1" t="s">
        <v>467</v>
      </c>
      <c r="E65" t="s">
        <v>142</v>
      </c>
      <c r="F65">
        <v>513</v>
      </c>
      <c r="G65">
        <v>163</v>
      </c>
      <c r="H65">
        <v>676</v>
      </c>
      <c r="I65" s="6">
        <v>25867</v>
      </c>
      <c r="J65">
        <v>718</v>
      </c>
      <c r="K65">
        <v>800</v>
      </c>
      <c r="L65" s="6">
        <v>28061</v>
      </c>
      <c r="M65" s="6">
        <v>26380</v>
      </c>
      <c r="N65" s="6">
        <v>1681</v>
      </c>
    </row>
    <row r="66" spans="1:14" x14ac:dyDescent="0.25">
      <c r="A66">
        <v>2026</v>
      </c>
      <c r="B66" s="1" t="s">
        <v>17</v>
      </c>
      <c r="C66" s="1" t="s">
        <v>52</v>
      </c>
      <c r="D66" s="1" t="s">
        <v>468</v>
      </c>
      <c r="E66" t="s">
        <v>143</v>
      </c>
      <c r="F66" s="6">
        <v>1079</v>
      </c>
      <c r="G66">
        <v>282</v>
      </c>
      <c r="H66" s="6">
        <v>1361</v>
      </c>
      <c r="I66" s="6">
        <v>116541</v>
      </c>
      <c r="J66" s="6">
        <v>4614</v>
      </c>
      <c r="K66" s="6">
        <v>5074</v>
      </c>
      <c r="L66" s="6">
        <v>127590</v>
      </c>
      <c r="M66" s="6">
        <v>117620</v>
      </c>
      <c r="N66" s="6">
        <v>9970</v>
      </c>
    </row>
    <row r="67" spans="1:14" x14ac:dyDescent="0.25">
      <c r="A67">
        <v>2026</v>
      </c>
      <c r="B67" s="63" t="s">
        <v>15</v>
      </c>
      <c r="C67" s="1" t="s">
        <v>50</v>
      </c>
      <c r="D67" s="1" t="s">
        <v>469</v>
      </c>
      <c r="E67" t="s">
        <v>144</v>
      </c>
      <c r="F67">
        <v>436</v>
      </c>
      <c r="G67">
        <v>121</v>
      </c>
      <c r="H67">
        <v>557</v>
      </c>
      <c r="I67" s="6">
        <v>55897</v>
      </c>
      <c r="J67" s="6">
        <v>3199</v>
      </c>
      <c r="K67" s="6">
        <v>3566</v>
      </c>
      <c r="L67" s="6">
        <v>63219</v>
      </c>
      <c r="M67" s="6">
        <v>56333</v>
      </c>
      <c r="N67" s="6">
        <v>6886</v>
      </c>
    </row>
    <row r="68" spans="1:14" x14ac:dyDescent="0.25">
      <c r="A68">
        <v>2026</v>
      </c>
      <c r="B68" s="63" t="s">
        <v>16</v>
      </c>
      <c r="C68" s="1" t="s">
        <v>51</v>
      </c>
      <c r="D68" s="1" t="s">
        <v>470</v>
      </c>
      <c r="E68" t="s">
        <v>145</v>
      </c>
      <c r="F68" s="6">
        <v>2051</v>
      </c>
      <c r="G68">
        <v>550</v>
      </c>
      <c r="H68" s="6">
        <v>2601</v>
      </c>
      <c r="I68" s="6">
        <v>141695</v>
      </c>
      <c r="J68" s="6">
        <v>12182</v>
      </c>
      <c r="K68" s="6">
        <v>13322</v>
      </c>
      <c r="L68" s="6">
        <v>169800</v>
      </c>
      <c r="M68" s="6">
        <v>143746</v>
      </c>
      <c r="N68" s="6">
        <v>26054</v>
      </c>
    </row>
    <row r="69" spans="1:14" x14ac:dyDescent="0.25">
      <c r="A69">
        <v>2026</v>
      </c>
      <c r="B69" s="1" t="s">
        <v>18</v>
      </c>
      <c r="C69" s="1" t="s">
        <v>53</v>
      </c>
      <c r="D69" s="1" t="s">
        <v>471</v>
      </c>
      <c r="E69" t="s">
        <v>146</v>
      </c>
      <c r="F69">
        <v>0</v>
      </c>
      <c r="G69">
        <v>0</v>
      </c>
      <c r="H69">
        <v>0</v>
      </c>
      <c r="I69" s="6">
        <v>23277</v>
      </c>
      <c r="J69">
        <v>713</v>
      </c>
      <c r="K69">
        <v>784</v>
      </c>
      <c r="L69" s="6">
        <v>24774</v>
      </c>
      <c r="M69" s="6">
        <v>23277</v>
      </c>
      <c r="N69" s="6">
        <v>1497</v>
      </c>
    </row>
    <row r="70" spans="1:14" x14ac:dyDescent="0.25">
      <c r="A70">
        <v>2026</v>
      </c>
      <c r="B70" s="1" t="s">
        <v>17</v>
      </c>
      <c r="C70" s="1" t="s">
        <v>52</v>
      </c>
      <c r="D70" s="1" t="s">
        <v>472</v>
      </c>
      <c r="E70" t="s">
        <v>147</v>
      </c>
      <c r="F70" s="6">
        <v>1747</v>
      </c>
      <c r="G70">
        <v>457</v>
      </c>
      <c r="H70" s="6">
        <v>2204</v>
      </c>
      <c r="I70" s="6">
        <v>188438</v>
      </c>
      <c r="J70" s="6">
        <v>10917</v>
      </c>
      <c r="K70" s="6">
        <v>12005</v>
      </c>
      <c r="L70" s="6">
        <v>213564</v>
      </c>
      <c r="M70" s="6">
        <v>190185</v>
      </c>
      <c r="N70" s="6">
        <v>23379</v>
      </c>
    </row>
    <row r="71" spans="1:14" x14ac:dyDescent="0.25">
      <c r="A71">
        <v>2026</v>
      </c>
      <c r="B71" s="1" t="s">
        <v>18</v>
      </c>
      <c r="C71" s="1" t="s">
        <v>53</v>
      </c>
      <c r="D71" s="1" t="s">
        <v>473</v>
      </c>
      <c r="E71" t="s">
        <v>148</v>
      </c>
      <c r="F71">
        <v>0</v>
      </c>
      <c r="G71">
        <v>0</v>
      </c>
      <c r="H71">
        <v>0</v>
      </c>
      <c r="I71" s="6">
        <v>14631</v>
      </c>
      <c r="J71">
        <v>195</v>
      </c>
      <c r="K71">
        <v>214</v>
      </c>
      <c r="L71" s="6">
        <v>15040</v>
      </c>
      <c r="M71" s="6">
        <v>14631</v>
      </c>
      <c r="N71">
        <v>409</v>
      </c>
    </row>
    <row r="72" spans="1:14" x14ac:dyDescent="0.25">
      <c r="A72">
        <v>2026</v>
      </c>
      <c r="B72" s="1" t="s">
        <v>18</v>
      </c>
      <c r="C72" s="1" t="s">
        <v>53</v>
      </c>
      <c r="D72" s="1" t="s">
        <v>474</v>
      </c>
      <c r="E72" t="s">
        <v>149</v>
      </c>
      <c r="F72">
        <v>0</v>
      </c>
      <c r="G72">
        <v>0</v>
      </c>
      <c r="H72">
        <v>0</v>
      </c>
      <c r="I72" s="6">
        <v>15052</v>
      </c>
      <c r="J72">
        <v>0</v>
      </c>
      <c r="K72">
        <v>0</v>
      </c>
      <c r="L72" s="6">
        <v>15052</v>
      </c>
      <c r="M72" s="6">
        <v>15052</v>
      </c>
      <c r="N72">
        <v>0</v>
      </c>
    </row>
    <row r="73" spans="1:14" x14ac:dyDescent="0.25">
      <c r="A73">
        <v>2026</v>
      </c>
      <c r="B73" s="63" t="s">
        <v>16</v>
      </c>
      <c r="C73" s="1" t="s">
        <v>51</v>
      </c>
      <c r="D73" s="1" t="s">
        <v>475</v>
      </c>
      <c r="E73" t="s">
        <v>150</v>
      </c>
      <c r="F73">
        <v>414</v>
      </c>
      <c r="G73">
        <v>111</v>
      </c>
      <c r="H73">
        <v>525</v>
      </c>
      <c r="I73" s="6">
        <v>28542</v>
      </c>
      <c r="J73">
        <v>130</v>
      </c>
      <c r="K73">
        <v>142</v>
      </c>
      <c r="L73" s="6">
        <v>29339</v>
      </c>
      <c r="M73" s="6">
        <v>28956</v>
      </c>
      <c r="N73">
        <v>383</v>
      </c>
    </row>
    <row r="74" spans="1:14" x14ac:dyDescent="0.25">
      <c r="A74">
        <v>2026</v>
      </c>
      <c r="B74" s="1" t="s">
        <v>18</v>
      </c>
      <c r="C74" s="1" t="s">
        <v>53</v>
      </c>
      <c r="D74" s="1" t="s">
        <v>476</v>
      </c>
      <c r="E74" t="s">
        <v>151</v>
      </c>
      <c r="F74">
        <v>0</v>
      </c>
      <c r="G74">
        <v>0</v>
      </c>
      <c r="H74">
        <v>0</v>
      </c>
      <c r="I74" s="6">
        <v>14983</v>
      </c>
      <c r="J74">
        <v>195</v>
      </c>
      <c r="K74">
        <v>214</v>
      </c>
      <c r="L74" s="6">
        <v>15392</v>
      </c>
      <c r="M74" s="6">
        <v>14983</v>
      </c>
      <c r="N74">
        <v>409</v>
      </c>
    </row>
    <row r="75" spans="1:14" x14ac:dyDescent="0.25">
      <c r="A75">
        <v>2026</v>
      </c>
      <c r="B75" s="1" t="s">
        <v>20</v>
      </c>
      <c r="C75" s="1" t="s">
        <v>55</v>
      </c>
      <c r="D75" s="1" t="s">
        <v>477</v>
      </c>
      <c r="E75" t="s">
        <v>152</v>
      </c>
      <c r="F75">
        <v>257</v>
      </c>
      <c r="G75">
        <v>68</v>
      </c>
      <c r="H75">
        <v>325</v>
      </c>
      <c r="I75" s="6">
        <v>16321</v>
      </c>
      <c r="J75">
        <v>325</v>
      </c>
      <c r="K75">
        <v>359</v>
      </c>
      <c r="L75" s="6">
        <v>17330</v>
      </c>
      <c r="M75" s="6">
        <v>16578</v>
      </c>
      <c r="N75">
        <v>752</v>
      </c>
    </row>
    <row r="76" spans="1:14" x14ac:dyDescent="0.25">
      <c r="A76">
        <v>2026</v>
      </c>
      <c r="B76" s="1" t="s">
        <v>20</v>
      </c>
      <c r="C76" s="1" t="s">
        <v>55</v>
      </c>
      <c r="D76" s="1" t="s">
        <v>478</v>
      </c>
      <c r="E76" t="s">
        <v>153</v>
      </c>
      <c r="F76" s="6">
        <v>5975</v>
      </c>
      <c r="G76" s="6">
        <v>1583</v>
      </c>
      <c r="H76" s="6">
        <v>7558</v>
      </c>
      <c r="I76" s="6">
        <v>381641</v>
      </c>
      <c r="J76" s="6">
        <v>32365</v>
      </c>
      <c r="K76" s="6">
        <v>35786</v>
      </c>
      <c r="L76" s="6">
        <v>457350</v>
      </c>
      <c r="M76" s="6">
        <v>387616</v>
      </c>
      <c r="N76" s="6">
        <v>69734</v>
      </c>
    </row>
    <row r="77" spans="1:14" x14ac:dyDescent="0.25">
      <c r="A77">
        <v>2026</v>
      </c>
      <c r="B77" s="1" t="s">
        <v>20</v>
      </c>
      <c r="C77" s="1" t="s">
        <v>55</v>
      </c>
      <c r="D77" s="1" t="s">
        <v>479</v>
      </c>
      <c r="E77" t="s">
        <v>154</v>
      </c>
      <c r="F77">
        <v>850</v>
      </c>
      <c r="G77">
        <v>225</v>
      </c>
      <c r="H77" s="6">
        <v>1075</v>
      </c>
      <c r="I77" s="6">
        <v>54832</v>
      </c>
      <c r="J77" s="6">
        <v>7279</v>
      </c>
      <c r="K77" s="6">
        <v>8048</v>
      </c>
      <c r="L77" s="6">
        <v>71234</v>
      </c>
      <c r="M77" s="6">
        <v>55682</v>
      </c>
      <c r="N77" s="6">
        <v>15552</v>
      </c>
    </row>
    <row r="78" spans="1:14" x14ac:dyDescent="0.25">
      <c r="A78">
        <v>2026</v>
      </c>
      <c r="B78" s="1" t="s">
        <v>18</v>
      </c>
      <c r="C78" s="1" t="s">
        <v>53</v>
      </c>
      <c r="D78" s="1" t="s">
        <v>480</v>
      </c>
      <c r="E78" t="s">
        <v>155</v>
      </c>
      <c r="F78">
        <v>0</v>
      </c>
      <c r="G78">
        <v>0</v>
      </c>
      <c r="H78">
        <v>0</v>
      </c>
      <c r="I78" s="6">
        <v>112692</v>
      </c>
      <c r="J78" s="6">
        <v>7978</v>
      </c>
      <c r="K78" s="6">
        <v>8767</v>
      </c>
      <c r="L78" s="6">
        <v>129437</v>
      </c>
      <c r="M78" s="6">
        <v>112692</v>
      </c>
      <c r="N78" s="6">
        <v>16745</v>
      </c>
    </row>
    <row r="79" spans="1:14" x14ac:dyDescent="0.25">
      <c r="A79">
        <v>2026</v>
      </c>
      <c r="B79" s="1" t="s">
        <v>21</v>
      </c>
      <c r="C79" s="1" t="s">
        <v>56</v>
      </c>
      <c r="D79" s="1" t="s">
        <v>481</v>
      </c>
      <c r="E79" t="s">
        <v>156</v>
      </c>
      <c r="F79">
        <v>290</v>
      </c>
      <c r="G79">
        <v>74</v>
      </c>
      <c r="H79">
        <v>364</v>
      </c>
      <c r="I79" s="6">
        <v>16535</v>
      </c>
      <c r="J79">
        <v>715</v>
      </c>
      <c r="K79">
        <v>786</v>
      </c>
      <c r="L79" s="6">
        <v>18400</v>
      </c>
      <c r="M79" s="6">
        <v>16825</v>
      </c>
      <c r="N79" s="6">
        <v>1575</v>
      </c>
    </row>
    <row r="80" spans="1:14" x14ac:dyDescent="0.25">
      <c r="A80">
        <v>2026</v>
      </c>
      <c r="B80" s="63" t="s">
        <v>16</v>
      </c>
      <c r="C80" s="1" t="s">
        <v>51</v>
      </c>
      <c r="D80" s="1" t="s">
        <v>482</v>
      </c>
      <c r="E80" t="s">
        <v>157</v>
      </c>
      <c r="F80" s="6">
        <v>7573</v>
      </c>
      <c r="G80" s="6">
        <v>2033</v>
      </c>
      <c r="H80" s="6">
        <v>9606</v>
      </c>
      <c r="I80" s="6">
        <v>522349</v>
      </c>
      <c r="J80" s="6">
        <v>132257</v>
      </c>
      <c r="K80" s="6">
        <v>144625</v>
      </c>
      <c r="L80" s="6">
        <v>808837</v>
      </c>
      <c r="M80" s="6">
        <v>529922</v>
      </c>
      <c r="N80" s="6">
        <v>278915</v>
      </c>
    </row>
    <row r="81" spans="1:14" x14ac:dyDescent="0.25">
      <c r="A81">
        <v>2026</v>
      </c>
      <c r="B81" s="1" t="s">
        <v>21</v>
      </c>
      <c r="C81" s="1" t="s">
        <v>56</v>
      </c>
      <c r="D81" s="1" t="s">
        <v>483</v>
      </c>
      <c r="E81" t="s">
        <v>158</v>
      </c>
      <c r="F81">
        <v>778</v>
      </c>
      <c r="G81">
        <v>199</v>
      </c>
      <c r="H81">
        <v>977</v>
      </c>
      <c r="I81" s="6">
        <v>42997</v>
      </c>
      <c r="J81">
        <v>325</v>
      </c>
      <c r="K81">
        <v>357</v>
      </c>
      <c r="L81" s="6">
        <v>44656</v>
      </c>
      <c r="M81" s="6">
        <v>43775</v>
      </c>
      <c r="N81">
        <v>881</v>
      </c>
    </row>
    <row r="82" spans="1:14" x14ac:dyDescent="0.25">
      <c r="A82">
        <v>2026</v>
      </c>
      <c r="B82" s="63" t="s">
        <v>13</v>
      </c>
      <c r="C82" s="1" t="s">
        <v>48</v>
      </c>
      <c r="D82" s="1" t="s">
        <v>484</v>
      </c>
      <c r="E82" t="s">
        <v>159</v>
      </c>
      <c r="F82" s="6">
        <v>1170</v>
      </c>
      <c r="G82">
        <v>370</v>
      </c>
      <c r="H82" s="6">
        <v>1540</v>
      </c>
      <c r="I82" s="6">
        <v>59900</v>
      </c>
      <c r="J82" s="6">
        <v>11094</v>
      </c>
      <c r="K82" s="6">
        <v>12357</v>
      </c>
      <c r="L82" s="6">
        <v>84891</v>
      </c>
      <c r="M82" s="6">
        <v>61070</v>
      </c>
      <c r="N82" s="6">
        <v>23821</v>
      </c>
    </row>
    <row r="83" spans="1:14" x14ac:dyDescent="0.25">
      <c r="A83">
        <v>2026</v>
      </c>
      <c r="B83" s="63" t="s">
        <v>16</v>
      </c>
      <c r="C83" s="1" t="s">
        <v>51</v>
      </c>
      <c r="D83" s="1" t="s">
        <v>485</v>
      </c>
      <c r="E83" t="s">
        <v>160</v>
      </c>
      <c r="F83">
        <v>94</v>
      </c>
      <c r="G83">
        <v>25</v>
      </c>
      <c r="H83">
        <v>119</v>
      </c>
      <c r="I83" s="6">
        <v>6469</v>
      </c>
      <c r="J83">
        <v>0</v>
      </c>
      <c r="K83">
        <v>0</v>
      </c>
      <c r="L83" s="6">
        <v>6588</v>
      </c>
      <c r="M83" s="6">
        <v>6563</v>
      </c>
      <c r="N83">
        <v>25</v>
      </c>
    </row>
    <row r="84" spans="1:14" x14ac:dyDescent="0.25">
      <c r="A84">
        <v>2026</v>
      </c>
      <c r="B84" s="1" t="s">
        <v>19</v>
      </c>
      <c r="C84" s="1" t="s">
        <v>54</v>
      </c>
      <c r="D84" s="1" t="s">
        <v>486</v>
      </c>
      <c r="E84" t="s">
        <v>161</v>
      </c>
      <c r="F84" s="6">
        <v>1167</v>
      </c>
      <c r="G84">
        <v>338</v>
      </c>
      <c r="H84" s="6">
        <v>1505</v>
      </c>
      <c r="I84" s="6">
        <v>80954</v>
      </c>
      <c r="J84" s="6">
        <v>9203</v>
      </c>
      <c r="K84" s="6">
        <v>10301</v>
      </c>
      <c r="L84" s="6">
        <v>101963</v>
      </c>
      <c r="M84" s="6">
        <v>82121</v>
      </c>
      <c r="N84" s="6">
        <v>19842</v>
      </c>
    </row>
    <row r="85" spans="1:14" x14ac:dyDescent="0.25">
      <c r="A85">
        <v>2026</v>
      </c>
      <c r="B85" s="63" t="s">
        <v>15</v>
      </c>
      <c r="C85" s="1" t="s">
        <v>50</v>
      </c>
      <c r="D85" s="1" t="s">
        <v>487</v>
      </c>
      <c r="E85" t="s">
        <v>162</v>
      </c>
      <c r="F85">
        <v>320</v>
      </c>
      <c r="G85">
        <v>89</v>
      </c>
      <c r="H85">
        <v>409</v>
      </c>
      <c r="I85" s="6">
        <v>41184</v>
      </c>
      <c r="J85">
        <v>914</v>
      </c>
      <c r="K85" s="6">
        <v>1019</v>
      </c>
      <c r="L85" s="6">
        <v>43526</v>
      </c>
      <c r="M85" s="6">
        <v>41504</v>
      </c>
      <c r="N85" s="6">
        <v>2022</v>
      </c>
    </row>
    <row r="86" spans="1:14" x14ac:dyDescent="0.25">
      <c r="A86">
        <v>2026</v>
      </c>
      <c r="B86" s="1" t="s">
        <v>18</v>
      </c>
      <c r="C86" s="1" t="s">
        <v>53</v>
      </c>
      <c r="D86" s="1" t="s">
        <v>488</v>
      </c>
      <c r="E86" t="s">
        <v>163</v>
      </c>
      <c r="F86">
        <v>0</v>
      </c>
      <c r="G86">
        <v>0</v>
      </c>
      <c r="H86">
        <v>0</v>
      </c>
      <c r="I86" s="6">
        <v>1065079</v>
      </c>
      <c r="J86" s="6">
        <v>192504</v>
      </c>
      <c r="K86" s="6">
        <v>211559</v>
      </c>
      <c r="L86" s="6">
        <v>1469142</v>
      </c>
      <c r="M86" s="6">
        <v>1065079</v>
      </c>
      <c r="N86" s="6">
        <v>404063</v>
      </c>
    </row>
    <row r="87" spans="1:14" x14ac:dyDescent="0.25">
      <c r="A87">
        <v>2026</v>
      </c>
      <c r="B87" s="1" t="s">
        <v>20</v>
      </c>
      <c r="C87" s="1" t="s">
        <v>55</v>
      </c>
      <c r="D87" s="1" t="s">
        <v>489</v>
      </c>
      <c r="E87" t="s">
        <v>164</v>
      </c>
      <c r="F87">
        <v>58</v>
      </c>
      <c r="G87">
        <v>15</v>
      </c>
      <c r="H87">
        <v>73</v>
      </c>
      <c r="I87" s="6">
        <v>3688</v>
      </c>
      <c r="J87">
        <v>0</v>
      </c>
      <c r="K87">
        <v>0</v>
      </c>
      <c r="L87" s="6">
        <v>3761</v>
      </c>
      <c r="M87" s="6">
        <v>3746</v>
      </c>
      <c r="N87">
        <v>15</v>
      </c>
    </row>
    <row r="88" spans="1:14" x14ac:dyDescent="0.25">
      <c r="A88">
        <v>2026</v>
      </c>
      <c r="B88" s="63" t="s">
        <v>15</v>
      </c>
      <c r="C88" s="1" t="s">
        <v>50</v>
      </c>
      <c r="D88" s="1" t="s">
        <v>490</v>
      </c>
      <c r="E88" t="s">
        <v>165</v>
      </c>
      <c r="F88">
        <v>326</v>
      </c>
      <c r="G88">
        <v>90</v>
      </c>
      <c r="H88">
        <v>416</v>
      </c>
      <c r="I88" s="6">
        <v>42007</v>
      </c>
      <c r="J88">
        <v>783</v>
      </c>
      <c r="K88">
        <v>873</v>
      </c>
      <c r="L88" s="6">
        <v>44079</v>
      </c>
      <c r="M88" s="6">
        <v>42333</v>
      </c>
      <c r="N88" s="6">
        <v>1746</v>
      </c>
    </row>
    <row r="89" spans="1:14" x14ac:dyDescent="0.25">
      <c r="A89">
        <v>2026</v>
      </c>
      <c r="B89" s="63" t="s">
        <v>13</v>
      </c>
      <c r="C89" s="1" t="s">
        <v>48</v>
      </c>
      <c r="D89" s="1" t="s">
        <v>491</v>
      </c>
      <c r="E89" t="s">
        <v>166</v>
      </c>
      <c r="F89" s="6">
        <v>8407</v>
      </c>
      <c r="G89" s="6">
        <v>2660</v>
      </c>
      <c r="H89" s="6">
        <v>11067</v>
      </c>
      <c r="I89" s="6">
        <v>423550</v>
      </c>
      <c r="J89" s="6">
        <v>126148</v>
      </c>
      <c r="K89" s="6">
        <v>140510</v>
      </c>
      <c r="L89" s="6">
        <v>701275</v>
      </c>
      <c r="M89" s="6">
        <v>431957</v>
      </c>
      <c r="N89" s="6">
        <v>269318</v>
      </c>
    </row>
    <row r="90" spans="1:14" x14ac:dyDescent="0.25">
      <c r="A90">
        <v>2026</v>
      </c>
      <c r="B90" s="63" t="s">
        <v>15</v>
      </c>
      <c r="C90" s="1" t="s">
        <v>50</v>
      </c>
      <c r="D90" s="1" t="s">
        <v>492</v>
      </c>
      <c r="E90" t="s">
        <v>167</v>
      </c>
      <c r="F90">
        <v>135</v>
      </c>
      <c r="G90">
        <v>38</v>
      </c>
      <c r="H90">
        <v>173</v>
      </c>
      <c r="I90" s="6">
        <v>17626</v>
      </c>
      <c r="J90" s="6">
        <v>1045</v>
      </c>
      <c r="K90" s="6">
        <v>1164</v>
      </c>
      <c r="L90" s="6">
        <v>20008</v>
      </c>
      <c r="M90" s="6">
        <v>17761</v>
      </c>
      <c r="N90" s="6">
        <v>2247</v>
      </c>
    </row>
    <row r="91" spans="1:14" x14ac:dyDescent="0.25">
      <c r="A91">
        <v>2026</v>
      </c>
      <c r="B91" s="63" t="s">
        <v>16</v>
      </c>
      <c r="C91" s="1" t="s">
        <v>51</v>
      </c>
      <c r="D91" s="1" t="s">
        <v>493</v>
      </c>
      <c r="E91" t="s">
        <v>168</v>
      </c>
      <c r="F91">
        <v>248</v>
      </c>
      <c r="G91">
        <v>67</v>
      </c>
      <c r="H91">
        <v>315</v>
      </c>
      <c r="I91" s="6">
        <v>17310</v>
      </c>
      <c r="J91">
        <v>324</v>
      </c>
      <c r="K91">
        <v>354</v>
      </c>
      <c r="L91" s="6">
        <v>18303</v>
      </c>
      <c r="M91" s="6">
        <v>17558</v>
      </c>
      <c r="N91">
        <v>745</v>
      </c>
    </row>
    <row r="92" spans="1:14" x14ac:dyDescent="0.25">
      <c r="A92">
        <v>2026</v>
      </c>
      <c r="B92" s="63" t="s">
        <v>14</v>
      </c>
      <c r="C92" s="1" t="s">
        <v>49</v>
      </c>
      <c r="D92" s="1" t="s">
        <v>494</v>
      </c>
      <c r="E92" t="s">
        <v>169</v>
      </c>
      <c r="F92">
        <v>0</v>
      </c>
      <c r="G92">
        <v>0</v>
      </c>
      <c r="H92">
        <v>0</v>
      </c>
      <c r="I92" s="6">
        <v>41799</v>
      </c>
      <c r="J92">
        <v>392</v>
      </c>
      <c r="K92">
        <v>439</v>
      </c>
      <c r="L92" s="6">
        <v>42630</v>
      </c>
      <c r="M92" s="6">
        <v>41799</v>
      </c>
      <c r="N92">
        <v>831</v>
      </c>
    </row>
    <row r="93" spans="1:14" x14ac:dyDescent="0.25">
      <c r="A93">
        <v>2026</v>
      </c>
      <c r="B93" s="1" t="s">
        <v>18</v>
      </c>
      <c r="C93" s="1" t="s">
        <v>53</v>
      </c>
      <c r="D93" s="1" t="s">
        <v>495</v>
      </c>
      <c r="E93" t="s">
        <v>170</v>
      </c>
      <c r="F93">
        <v>0</v>
      </c>
      <c r="G93">
        <v>0</v>
      </c>
      <c r="H93">
        <v>0</v>
      </c>
      <c r="I93" s="6">
        <v>18182</v>
      </c>
      <c r="J93">
        <v>454</v>
      </c>
      <c r="K93">
        <v>499</v>
      </c>
      <c r="L93" s="6">
        <v>19135</v>
      </c>
      <c r="M93" s="6">
        <v>18182</v>
      </c>
      <c r="N93">
        <v>953</v>
      </c>
    </row>
    <row r="94" spans="1:14" x14ac:dyDescent="0.25">
      <c r="A94">
        <v>2026</v>
      </c>
      <c r="B94" s="63" t="s">
        <v>15</v>
      </c>
      <c r="C94" s="1" t="s">
        <v>50</v>
      </c>
      <c r="D94" s="1" t="s">
        <v>496</v>
      </c>
      <c r="E94" t="s">
        <v>171</v>
      </c>
      <c r="F94">
        <v>193</v>
      </c>
      <c r="G94">
        <v>54</v>
      </c>
      <c r="H94">
        <v>247</v>
      </c>
      <c r="I94" s="6">
        <v>26401</v>
      </c>
      <c r="J94">
        <v>457</v>
      </c>
      <c r="K94">
        <v>509</v>
      </c>
      <c r="L94" s="6">
        <v>27614</v>
      </c>
      <c r="M94" s="6">
        <v>26594</v>
      </c>
      <c r="N94" s="6">
        <v>1020</v>
      </c>
    </row>
    <row r="95" spans="1:14" x14ac:dyDescent="0.25">
      <c r="A95">
        <v>2026</v>
      </c>
      <c r="B95" s="63" t="s">
        <v>15</v>
      </c>
      <c r="C95" s="1" t="s">
        <v>50</v>
      </c>
      <c r="D95" s="1" t="s">
        <v>497</v>
      </c>
      <c r="E95" t="s">
        <v>172</v>
      </c>
      <c r="F95">
        <v>190</v>
      </c>
      <c r="G95">
        <v>53</v>
      </c>
      <c r="H95">
        <v>243</v>
      </c>
      <c r="I95" s="6">
        <v>24960</v>
      </c>
      <c r="J95">
        <v>979</v>
      </c>
      <c r="K95" s="6">
        <v>1092</v>
      </c>
      <c r="L95" s="6">
        <v>27274</v>
      </c>
      <c r="M95" s="6">
        <v>25150</v>
      </c>
      <c r="N95" s="6">
        <v>2124</v>
      </c>
    </row>
    <row r="96" spans="1:14" x14ac:dyDescent="0.25">
      <c r="A96">
        <v>2026</v>
      </c>
      <c r="B96" s="1" t="s">
        <v>20</v>
      </c>
      <c r="C96" s="1" t="s">
        <v>55</v>
      </c>
      <c r="D96" s="1" t="s">
        <v>498</v>
      </c>
      <c r="E96" t="s">
        <v>173</v>
      </c>
      <c r="F96">
        <v>359</v>
      </c>
      <c r="G96">
        <v>95</v>
      </c>
      <c r="H96">
        <v>454</v>
      </c>
      <c r="I96" s="6">
        <v>22765</v>
      </c>
      <c r="J96">
        <v>325</v>
      </c>
      <c r="K96">
        <v>359</v>
      </c>
      <c r="L96" s="6">
        <v>23903</v>
      </c>
      <c r="M96" s="6">
        <v>23124</v>
      </c>
      <c r="N96">
        <v>779</v>
      </c>
    </row>
    <row r="97" spans="1:14" x14ac:dyDescent="0.25">
      <c r="A97">
        <v>2026</v>
      </c>
      <c r="B97" s="63" t="s">
        <v>14</v>
      </c>
      <c r="C97" s="1" t="s">
        <v>49</v>
      </c>
      <c r="D97" s="1" t="s">
        <v>499</v>
      </c>
      <c r="E97" t="s">
        <v>174</v>
      </c>
      <c r="F97">
        <v>0</v>
      </c>
      <c r="G97">
        <v>0</v>
      </c>
      <c r="H97">
        <v>0</v>
      </c>
      <c r="I97" s="6">
        <v>35104</v>
      </c>
      <c r="J97" s="6">
        <v>3855</v>
      </c>
      <c r="K97" s="6">
        <v>4316</v>
      </c>
      <c r="L97" s="6">
        <v>43275</v>
      </c>
      <c r="M97" s="6">
        <v>35104</v>
      </c>
      <c r="N97" s="6">
        <v>8171</v>
      </c>
    </row>
    <row r="98" spans="1:14" x14ac:dyDescent="0.25">
      <c r="A98">
        <v>2026</v>
      </c>
      <c r="B98" s="1" t="s">
        <v>20</v>
      </c>
      <c r="C98" s="1" t="s">
        <v>55</v>
      </c>
      <c r="D98" s="1" t="s">
        <v>500</v>
      </c>
      <c r="E98" t="s">
        <v>175</v>
      </c>
      <c r="F98">
        <v>284</v>
      </c>
      <c r="G98">
        <v>76</v>
      </c>
      <c r="H98">
        <v>360</v>
      </c>
      <c r="I98" s="6">
        <v>18062</v>
      </c>
      <c r="J98">
        <v>650</v>
      </c>
      <c r="K98">
        <v>719</v>
      </c>
      <c r="L98" s="6">
        <v>19791</v>
      </c>
      <c r="M98" s="6">
        <v>18346</v>
      </c>
      <c r="N98" s="6">
        <v>1445</v>
      </c>
    </row>
    <row r="99" spans="1:14" x14ac:dyDescent="0.25">
      <c r="A99">
        <v>2026</v>
      </c>
      <c r="B99" s="63" t="s">
        <v>13</v>
      </c>
      <c r="C99" s="1" t="s">
        <v>48</v>
      </c>
      <c r="D99" s="1" t="s">
        <v>501</v>
      </c>
      <c r="E99" t="s">
        <v>176</v>
      </c>
      <c r="F99">
        <v>248</v>
      </c>
      <c r="G99">
        <v>79</v>
      </c>
      <c r="H99">
        <v>327</v>
      </c>
      <c r="I99" s="6">
        <v>12548</v>
      </c>
      <c r="J99">
        <v>653</v>
      </c>
      <c r="K99">
        <v>727</v>
      </c>
      <c r="L99" s="6">
        <v>14255</v>
      </c>
      <c r="M99" s="6">
        <v>12796</v>
      </c>
      <c r="N99" s="6">
        <v>1459</v>
      </c>
    </row>
    <row r="100" spans="1:14" x14ac:dyDescent="0.25">
      <c r="A100">
        <v>2026</v>
      </c>
      <c r="B100" s="63" t="s">
        <v>16</v>
      </c>
      <c r="C100" s="1" t="s">
        <v>51</v>
      </c>
      <c r="D100" s="1" t="s">
        <v>502</v>
      </c>
      <c r="E100" t="s">
        <v>177</v>
      </c>
      <c r="F100">
        <v>284</v>
      </c>
      <c r="G100">
        <v>77</v>
      </c>
      <c r="H100">
        <v>361</v>
      </c>
      <c r="I100" s="6">
        <v>20169</v>
      </c>
      <c r="J100">
        <v>389</v>
      </c>
      <c r="K100">
        <v>425</v>
      </c>
      <c r="L100" s="6">
        <v>21344</v>
      </c>
      <c r="M100" s="6">
        <v>20453</v>
      </c>
      <c r="N100">
        <v>891</v>
      </c>
    </row>
    <row r="101" spans="1:14" x14ac:dyDescent="0.25">
      <c r="A101">
        <v>2026</v>
      </c>
      <c r="B101" s="1" t="s">
        <v>21</v>
      </c>
      <c r="C101" s="1" t="s">
        <v>56</v>
      </c>
      <c r="D101" s="63" t="s">
        <v>503</v>
      </c>
      <c r="E101" t="s">
        <v>178</v>
      </c>
      <c r="F101">
        <v>549</v>
      </c>
      <c r="G101">
        <v>140</v>
      </c>
      <c r="H101">
        <v>689</v>
      </c>
      <c r="I101" s="6">
        <v>30270</v>
      </c>
      <c r="J101" s="6">
        <v>1169</v>
      </c>
      <c r="K101" s="6">
        <v>1286</v>
      </c>
      <c r="L101" s="6">
        <v>33414</v>
      </c>
      <c r="M101" s="6">
        <v>30819</v>
      </c>
      <c r="N101" s="6">
        <v>2595</v>
      </c>
    </row>
    <row r="102" spans="1:14" x14ac:dyDescent="0.25">
      <c r="A102">
        <v>2026</v>
      </c>
      <c r="B102" s="63" t="s">
        <v>13</v>
      </c>
      <c r="C102" s="1" t="s">
        <v>48</v>
      </c>
      <c r="D102" s="1" t="s">
        <v>504</v>
      </c>
      <c r="E102" t="s">
        <v>179</v>
      </c>
      <c r="F102">
        <v>295</v>
      </c>
      <c r="G102">
        <v>94</v>
      </c>
      <c r="H102">
        <v>389</v>
      </c>
      <c r="I102" s="6">
        <v>14910</v>
      </c>
      <c r="J102" s="6">
        <v>1370</v>
      </c>
      <c r="K102" s="6">
        <v>1526</v>
      </c>
      <c r="L102" s="6">
        <v>18195</v>
      </c>
      <c r="M102" s="6">
        <v>15205</v>
      </c>
      <c r="N102" s="6">
        <v>2990</v>
      </c>
    </row>
    <row r="103" spans="1:14" x14ac:dyDescent="0.25">
      <c r="A103">
        <v>2026</v>
      </c>
      <c r="B103" s="63" t="s">
        <v>15</v>
      </c>
      <c r="C103" s="1" t="s">
        <v>50</v>
      </c>
      <c r="D103" s="1" t="s">
        <v>505</v>
      </c>
      <c r="E103" t="s">
        <v>180</v>
      </c>
      <c r="F103">
        <v>207</v>
      </c>
      <c r="G103">
        <v>57</v>
      </c>
      <c r="H103">
        <v>264</v>
      </c>
      <c r="I103" s="6">
        <v>27421</v>
      </c>
      <c r="J103">
        <v>588</v>
      </c>
      <c r="K103">
        <v>655</v>
      </c>
      <c r="L103" s="6">
        <v>28928</v>
      </c>
      <c r="M103" s="6">
        <v>27628</v>
      </c>
      <c r="N103" s="6">
        <v>1300</v>
      </c>
    </row>
    <row r="104" spans="1:14" x14ac:dyDescent="0.25">
      <c r="A104">
        <v>2026</v>
      </c>
      <c r="B104" s="63" t="s">
        <v>14</v>
      </c>
      <c r="C104" s="1" t="s">
        <v>49</v>
      </c>
      <c r="D104" s="1" t="s">
        <v>506</v>
      </c>
      <c r="E104" t="s">
        <v>181</v>
      </c>
      <c r="F104">
        <v>0</v>
      </c>
      <c r="G104">
        <v>0</v>
      </c>
      <c r="H104">
        <v>0</v>
      </c>
      <c r="I104" s="6">
        <v>27860</v>
      </c>
      <c r="J104" s="6">
        <v>5619</v>
      </c>
      <c r="K104" s="6">
        <v>6292</v>
      </c>
      <c r="L104" s="6">
        <v>39771</v>
      </c>
      <c r="M104" s="6">
        <v>27860</v>
      </c>
      <c r="N104" s="6">
        <v>11911</v>
      </c>
    </row>
    <row r="105" spans="1:14" x14ac:dyDescent="0.25">
      <c r="A105">
        <v>2026</v>
      </c>
      <c r="B105" s="1" t="s">
        <v>17</v>
      </c>
      <c r="C105" s="1" t="s">
        <v>52</v>
      </c>
      <c r="D105" s="1" t="s">
        <v>507</v>
      </c>
      <c r="E105" t="s">
        <v>182</v>
      </c>
      <c r="F105">
        <v>152</v>
      </c>
      <c r="G105">
        <v>39</v>
      </c>
      <c r="H105">
        <v>191</v>
      </c>
      <c r="I105" s="6">
        <v>16308</v>
      </c>
      <c r="J105">
        <v>455</v>
      </c>
      <c r="K105">
        <v>500</v>
      </c>
      <c r="L105" s="6">
        <v>17454</v>
      </c>
      <c r="M105" s="6">
        <v>16460</v>
      </c>
      <c r="N105">
        <v>994</v>
      </c>
    </row>
    <row r="106" spans="1:14" x14ac:dyDescent="0.25">
      <c r="A106">
        <v>2026</v>
      </c>
      <c r="B106" s="1" t="s">
        <v>20</v>
      </c>
      <c r="C106" s="1" t="s">
        <v>55</v>
      </c>
      <c r="D106" s="1" t="s">
        <v>508</v>
      </c>
      <c r="E106" t="s">
        <v>183</v>
      </c>
      <c r="F106">
        <v>105</v>
      </c>
      <c r="G106">
        <v>28</v>
      </c>
      <c r="H106">
        <v>133</v>
      </c>
      <c r="I106" s="6">
        <v>6790</v>
      </c>
      <c r="J106">
        <v>325</v>
      </c>
      <c r="K106">
        <v>359</v>
      </c>
      <c r="L106" s="6">
        <v>7607</v>
      </c>
      <c r="M106" s="6">
        <v>6895</v>
      </c>
      <c r="N106">
        <v>712</v>
      </c>
    </row>
    <row r="107" spans="1:14" x14ac:dyDescent="0.25">
      <c r="A107">
        <v>2026</v>
      </c>
      <c r="B107" s="63" t="s">
        <v>14</v>
      </c>
      <c r="C107" s="1" t="s">
        <v>49</v>
      </c>
      <c r="D107" s="1" t="s">
        <v>509</v>
      </c>
      <c r="E107" t="s">
        <v>184</v>
      </c>
      <c r="F107">
        <v>0</v>
      </c>
      <c r="G107">
        <v>0</v>
      </c>
      <c r="H107">
        <v>0</v>
      </c>
      <c r="I107" s="6">
        <v>48911</v>
      </c>
      <c r="J107">
        <v>0</v>
      </c>
      <c r="K107">
        <v>0</v>
      </c>
      <c r="L107" s="6">
        <v>48911</v>
      </c>
      <c r="M107" s="6">
        <v>48911</v>
      </c>
      <c r="N107">
        <v>0</v>
      </c>
    </row>
    <row r="108" spans="1:14" x14ac:dyDescent="0.25">
      <c r="A108">
        <v>2026</v>
      </c>
      <c r="B108" s="1" t="s">
        <v>18</v>
      </c>
      <c r="C108" s="1" t="s">
        <v>53</v>
      </c>
      <c r="D108" s="1" t="s">
        <v>510</v>
      </c>
      <c r="E108" t="s">
        <v>185</v>
      </c>
      <c r="F108">
        <v>0</v>
      </c>
      <c r="G108">
        <v>0</v>
      </c>
      <c r="H108">
        <v>0</v>
      </c>
      <c r="I108" s="6">
        <v>14075</v>
      </c>
      <c r="J108">
        <v>0</v>
      </c>
      <c r="K108">
        <v>0</v>
      </c>
      <c r="L108" s="6">
        <v>14075</v>
      </c>
      <c r="M108" s="6">
        <v>14075</v>
      </c>
      <c r="N108">
        <v>0</v>
      </c>
    </row>
    <row r="109" spans="1:14" x14ac:dyDescent="0.25">
      <c r="A109">
        <v>2026</v>
      </c>
      <c r="B109" s="1" t="s">
        <v>21</v>
      </c>
      <c r="C109" s="1" t="s">
        <v>56</v>
      </c>
      <c r="D109" s="1" t="s">
        <v>511</v>
      </c>
      <c r="E109" t="s">
        <v>186</v>
      </c>
      <c r="F109" s="6">
        <v>1076</v>
      </c>
      <c r="G109">
        <v>275</v>
      </c>
      <c r="H109" s="6">
        <v>1351</v>
      </c>
      <c r="I109" s="6">
        <v>60397</v>
      </c>
      <c r="J109" s="6">
        <v>11563</v>
      </c>
      <c r="K109" s="6">
        <v>12715</v>
      </c>
      <c r="L109" s="6">
        <v>86026</v>
      </c>
      <c r="M109" s="6">
        <v>61473</v>
      </c>
      <c r="N109" s="6">
        <v>24553</v>
      </c>
    </row>
    <row r="110" spans="1:14" x14ac:dyDescent="0.25">
      <c r="A110">
        <v>2026</v>
      </c>
      <c r="B110" s="63" t="s">
        <v>15</v>
      </c>
      <c r="C110" s="1" t="s">
        <v>50</v>
      </c>
      <c r="D110" s="1" t="s">
        <v>512</v>
      </c>
      <c r="E110" t="s">
        <v>187</v>
      </c>
      <c r="F110">
        <v>400</v>
      </c>
      <c r="G110">
        <v>111</v>
      </c>
      <c r="H110">
        <v>511</v>
      </c>
      <c r="I110" s="6">
        <v>52132</v>
      </c>
      <c r="J110" s="6">
        <v>2024</v>
      </c>
      <c r="K110" s="6">
        <v>2256</v>
      </c>
      <c r="L110" s="6">
        <v>56923</v>
      </c>
      <c r="M110" s="6">
        <v>52532</v>
      </c>
      <c r="N110" s="6">
        <v>4391</v>
      </c>
    </row>
    <row r="111" spans="1:14" x14ac:dyDescent="0.25">
      <c r="A111">
        <v>2026</v>
      </c>
      <c r="B111" s="63" t="s">
        <v>14</v>
      </c>
      <c r="C111" s="1" t="s">
        <v>49</v>
      </c>
      <c r="D111" s="1" t="s">
        <v>513</v>
      </c>
      <c r="E111" t="s">
        <v>188</v>
      </c>
      <c r="F111">
        <v>0</v>
      </c>
      <c r="G111">
        <v>0</v>
      </c>
      <c r="H111">
        <v>0</v>
      </c>
      <c r="I111" s="6">
        <v>151883</v>
      </c>
      <c r="J111" s="6">
        <v>44235</v>
      </c>
      <c r="K111" s="6">
        <v>49529</v>
      </c>
      <c r="L111" s="6">
        <v>245647</v>
      </c>
      <c r="M111" s="6">
        <v>151883</v>
      </c>
      <c r="N111" s="6">
        <v>93764</v>
      </c>
    </row>
    <row r="112" spans="1:14" x14ac:dyDescent="0.25">
      <c r="A112">
        <v>2026</v>
      </c>
      <c r="B112" s="1" t="s">
        <v>21</v>
      </c>
      <c r="C112" s="1" t="s">
        <v>56</v>
      </c>
      <c r="D112" s="1" t="s">
        <v>514</v>
      </c>
      <c r="E112" t="s">
        <v>189</v>
      </c>
      <c r="F112" s="6">
        <v>1526</v>
      </c>
      <c r="G112">
        <v>390</v>
      </c>
      <c r="H112" s="6">
        <v>1916</v>
      </c>
      <c r="I112" s="6">
        <v>84419</v>
      </c>
      <c r="J112" s="6">
        <v>19358</v>
      </c>
      <c r="K112" s="6">
        <v>21286</v>
      </c>
      <c r="L112" s="6">
        <v>126979</v>
      </c>
      <c r="M112" s="6">
        <v>85945</v>
      </c>
      <c r="N112" s="6">
        <v>41034</v>
      </c>
    </row>
    <row r="113" spans="1:14" x14ac:dyDescent="0.25">
      <c r="A113">
        <v>2026</v>
      </c>
      <c r="B113" s="1" t="s">
        <v>20</v>
      </c>
      <c r="C113" s="1" t="s">
        <v>55</v>
      </c>
      <c r="D113" s="1" t="s">
        <v>515</v>
      </c>
      <c r="E113" t="s">
        <v>190</v>
      </c>
      <c r="F113">
        <v>287</v>
      </c>
      <c r="G113">
        <v>76</v>
      </c>
      <c r="H113">
        <v>363</v>
      </c>
      <c r="I113" s="6">
        <v>18183</v>
      </c>
      <c r="J113">
        <v>325</v>
      </c>
      <c r="K113">
        <v>359</v>
      </c>
      <c r="L113" s="6">
        <v>19230</v>
      </c>
      <c r="M113" s="6">
        <v>18470</v>
      </c>
      <c r="N113">
        <v>760</v>
      </c>
    </row>
    <row r="114" spans="1:14" x14ac:dyDescent="0.25">
      <c r="A114">
        <v>2026</v>
      </c>
      <c r="B114" s="1" t="s">
        <v>19</v>
      </c>
      <c r="C114" s="1" t="s">
        <v>54</v>
      </c>
      <c r="D114" s="1" t="s">
        <v>516</v>
      </c>
      <c r="E114" t="s">
        <v>191</v>
      </c>
      <c r="F114">
        <v>265</v>
      </c>
      <c r="G114">
        <v>76</v>
      </c>
      <c r="H114">
        <v>341</v>
      </c>
      <c r="I114" s="6">
        <v>18460</v>
      </c>
      <c r="J114">
        <v>0</v>
      </c>
      <c r="K114">
        <v>0</v>
      </c>
      <c r="L114" s="6">
        <v>18801</v>
      </c>
      <c r="M114" s="6">
        <v>18725</v>
      </c>
      <c r="N114">
        <v>76</v>
      </c>
    </row>
    <row r="115" spans="1:14" x14ac:dyDescent="0.25">
      <c r="A115">
        <v>2026</v>
      </c>
      <c r="B115" s="63" t="s">
        <v>15</v>
      </c>
      <c r="C115" s="1" t="s">
        <v>50</v>
      </c>
      <c r="D115" s="1" t="s">
        <v>517</v>
      </c>
      <c r="E115" t="s">
        <v>192</v>
      </c>
      <c r="F115">
        <v>309</v>
      </c>
      <c r="G115">
        <v>86</v>
      </c>
      <c r="H115">
        <v>395</v>
      </c>
      <c r="I115" s="6">
        <v>39808</v>
      </c>
      <c r="J115" s="6">
        <v>3003</v>
      </c>
      <c r="K115" s="6">
        <v>3348</v>
      </c>
      <c r="L115" s="6">
        <v>46554</v>
      </c>
      <c r="M115" s="6">
        <v>40117</v>
      </c>
      <c r="N115" s="6">
        <v>6437</v>
      </c>
    </row>
    <row r="116" spans="1:14" x14ac:dyDescent="0.25">
      <c r="A116">
        <v>2026</v>
      </c>
      <c r="B116" s="1" t="s">
        <v>19</v>
      </c>
      <c r="C116" s="1" t="s">
        <v>54</v>
      </c>
      <c r="D116" s="1" t="s">
        <v>518</v>
      </c>
      <c r="E116" t="s">
        <v>193</v>
      </c>
      <c r="F116">
        <v>246</v>
      </c>
      <c r="G116">
        <v>71</v>
      </c>
      <c r="H116">
        <v>317</v>
      </c>
      <c r="I116" s="6">
        <v>17888</v>
      </c>
      <c r="J116">
        <v>914</v>
      </c>
      <c r="K116" s="6">
        <v>1023</v>
      </c>
      <c r="L116" s="6">
        <v>20142</v>
      </c>
      <c r="M116" s="6">
        <v>18134</v>
      </c>
      <c r="N116" s="6">
        <v>2008</v>
      </c>
    </row>
    <row r="117" spans="1:14" x14ac:dyDescent="0.25">
      <c r="A117">
        <v>2026</v>
      </c>
      <c r="B117" s="1" t="s">
        <v>18</v>
      </c>
      <c r="C117" s="1" t="s">
        <v>53</v>
      </c>
      <c r="D117" s="1" t="s">
        <v>519</v>
      </c>
      <c r="E117" t="s">
        <v>194</v>
      </c>
      <c r="F117">
        <v>0</v>
      </c>
      <c r="G117">
        <v>0</v>
      </c>
      <c r="H117">
        <v>0</v>
      </c>
      <c r="I117" s="6">
        <v>50090</v>
      </c>
      <c r="J117" s="6">
        <v>2659</v>
      </c>
      <c r="K117" s="6">
        <v>2922</v>
      </c>
      <c r="L117" s="6">
        <v>55671</v>
      </c>
      <c r="M117" s="6">
        <v>50090</v>
      </c>
      <c r="N117" s="6">
        <v>5581</v>
      </c>
    </row>
    <row r="118" spans="1:14" x14ac:dyDescent="0.25">
      <c r="A118">
        <v>2026</v>
      </c>
      <c r="B118" s="63" t="s">
        <v>14</v>
      </c>
      <c r="C118" s="1" t="s">
        <v>49</v>
      </c>
      <c r="D118" s="1" t="s">
        <v>520</v>
      </c>
      <c r="E118" t="s">
        <v>195</v>
      </c>
      <c r="F118">
        <v>0</v>
      </c>
      <c r="G118">
        <v>0</v>
      </c>
      <c r="H118">
        <v>0</v>
      </c>
      <c r="I118" s="6">
        <v>7022</v>
      </c>
      <c r="J118">
        <v>196</v>
      </c>
      <c r="K118">
        <v>219</v>
      </c>
      <c r="L118" s="6">
        <v>7437</v>
      </c>
      <c r="M118" s="6">
        <v>7022</v>
      </c>
      <c r="N118">
        <v>415</v>
      </c>
    </row>
    <row r="119" spans="1:14" x14ac:dyDescent="0.25">
      <c r="A119">
        <v>2026</v>
      </c>
      <c r="B119" s="63" t="s">
        <v>15</v>
      </c>
      <c r="C119" s="1" t="s">
        <v>50</v>
      </c>
      <c r="D119" s="1" t="s">
        <v>521</v>
      </c>
      <c r="E119" t="s">
        <v>196</v>
      </c>
      <c r="F119">
        <v>237</v>
      </c>
      <c r="G119">
        <v>66</v>
      </c>
      <c r="H119">
        <v>303</v>
      </c>
      <c r="I119" s="6">
        <v>30379</v>
      </c>
      <c r="J119">
        <v>261</v>
      </c>
      <c r="K119">
        <v>291</v>
      </c>
      <c r="L119" s="6">
        <v>31234</v>
      </c>
      <c r="M119" s="6">
        <v>30616</v>
      </c>
      <c r="N119">
        <v>618</v>
      </c>
    </row>
    <row r="120" spans="1:14" x14ac:dyDescent="0.25">
      <c r="A120">
        <v>2026</v>
      </c>
      <c r="B120" s="1" t="s">
        <v>20</v>
      </c>
      <c r="C120" s="1" t="s">
        <v>55</v>
      </c>
      <c r="D120" s="1" t="s">
        <v>522</v>
      </c>
      <c r="E120" t="s">
        <v>197</v>
      </c>
      <c r="F120" s="6">
        <v>1179</v>
      </c>
      <c r="G120">
        <v>312</v>
      </c>
      <c r="H120" s="6">
        <v>1491</v>
      </c>
      <c r="I120" s="6">
        <v>75503</v>
      </c>
      <c r="J120" s="6">
        <v>1950</v>
      </c>
      <c r="K120" s="6">
        <v>2156</v>
      </c>
      <c r="L120" s="6">
        <v>81100</v>
      </c>
      <c r="M120" s="6">
        <v>76682</v>
      </c>
      <c r="N120" s="6">
        <v>4418</v>
      </c>
    </row>
    <row r="121" spans="1:14" x14ac:dyDescent="0.25">
      <c r="A121">
        <v>2026</v>
      </c>
      <c r="B121" s="1" t="s">
        <v>18</v>
      </c>
      <c r="C121" s="1" t="s">
        <v>53</v>
      </c>
      <c r="D121" s="1" t="s">
        <v>523</v>
      </c>
      <c r="E121" t="s">
        <v>198</v>
      </c>
      <c r="F121">
        <v>0</v>
      </c>
      <c r="G121">
        <v>0</v>
      </c>
      <c r="H121">
        <v>0</v>
      </c>
      <c r="I121" s="6">
        <v>10201</v>
      </c>
      <c r="J121" s="6">
        <v>1167</v>
      </c>
      <c r="K121" s="6">
        <v>1283</v>
      </c>
      <c r="L121" s="6">
        <v>12651</v>
      </c>
      <c r="M121" s="6">
        <v>10201</v>
      </c>
      <c r="N121" s="6">
        <v>2450</v>
      </c>
    </row>
    <row r="122" spans="1:14" x14ac:dyDescent="0.25">
      <c r="A122">
        <v>2026</v>
      </c>
      <c r="B122" s="63" t="s">
        <v>15</v>
      </c>
      <c r="C122" s="1" t="s">
        <v>50</v>
      </c>
      <c r="D122" s="1" t="s">
        <v>524</v>
      </c>
      <c r="E122" t="s">
        <v>199</v>
      </c>
      <c r="F122">
        <v>97</v>
      </c>
      <c r="G122">
        <v>26</v>
      </c>
      <c r="H122">
        <v>123</v>
      </c>
      <c r="I122" s="6">
        <v>12369</v>
      </c>
      <c r="J122">
        <v>131</v>
      </c>
      <c r="K122">
        <v>146</v>
      </c>
      <c r="L122" s="6">
        <v>12769</v>
      </c>
      <c r="M122" s="6">
        <v>12466</v>
      </c>
      <c r="N122">
        <v>303</v>
      </c>
    </row>
    <row r="123" spans="1:14" x14ac:dyDescent="0.25">
      <c r="A123">
        <v>2026</v>
      </c>
      <c r="B123" s="63" t="s">
        <v>14</v>
      </c>
      <c r="C123" s="1" t="s">
        <v>49</v>
      </c>
      <c r="D123" s="1" t="s">
        <v>525</v>
      </c>
      <c r="E123" t="s">
        <v>200</v>
      </c>
      <c r="F123">
        <v>0</v>
      </c>
      <c r="G123">
        <v>0</v>
      </c>
      <c r="H123">
        <v>0</v>
      </c>
      <c r="I123" s="6">
        <v>15708</v>
      </c>
      <c r="J123">
        <v>392</v>
      </c>
      <c r="K123">
        <v>439</v>
      </c>
      <c r="L123" s="6">
        <v>16539</v>
      </c>
      <c r="M123" s="6">
        <v>15708</v>
      </c>
      <c r="N123">
        <v>831</v>
      </c>
    </row>
    <row r="124" spans="1:14" x14ac:dyDescent="0.25">
      <c r="A124">
        <v>2026</v>
      </c>
      <c r="B124" s="63" t="s">
        <v>14</v>
      </c>
      <c r="C124" s="1" t="s">
        <v>49</v>
      </c>
      <c r="D124" s="1" t="s">
        <v>526</v>
      </c>
      <c r="E124" t="s">
        <v>201</v>
      </c>
      <c r="F124">
        <v>0</v>
      </c>
      <c r="G124">
        <v>0</v>
      </c>
      <c r="H124">
        <v>0</v>
      </c>
      <c r="I124" s="6">
        <v>51771</v>
      </c>
      <c r="J124">
        <v>457</v>
      </c>
      <c r="K124">
        <v>512</v>
      </c>
      <c r="L124" s="6">
        <v>52740</v>
      </c>
      <c r="M124" s="6">
        <v>51771</v>
      </c>
      <c r="N124">
        <v>969</v>
      </c>
    </row>
    <row r="125" spans="1:14" x14ac:dyDescent="0.25">
      <c r="A125">
        <v>2026</v>
      </c>
      <c r="B125" s="63" t="s">
        <v>15</v>
      </c>
      <c r="C125" s="1" t="s">
        <v>50</v>
      </c>
      <c r="D125" s="1" t="s">
        <v>527</v>
      </c>
      <c r="E125" t="s">
        <v>202</v>
      </c>
      <c r="F125">
        <v>582</v>
      </c>
      <c r="G125">
        <v>162</v>
      </c>
      <c r="H125">
        <v>744</v>
      </c>
      <c r="I125" s="6">
        <v>74575</v>
      </c>
      <c r="J125" s="6">
        <v>4505</v>
      </c>
      <c r="K125" s="6">
        <v>5022</v>
      </c>
      <c r="L125" s="6">
        <v>84846</v>
      </c>
      <c r="M125" s="6">
        <v>75157</v>
      </c>
      <c r="N125" s="6">
        <v>9689</v>
      </c>
    </row>
    <row r="126" spans="1:14" x14ac:dyDescent="0.25">
      <c r="A126">
        <v>2026</v>
      </c>
      <c r="B126" s="1" t="s">
        <v>20</v>
      </c>
      <c r="C126" s="1" t="s">
        <v>55</v>
      </c>
      <c r="D126" s="1" t="s">
        <v>528</v>
      </c>
      <c r="E126" t="s">
        <v>203</v>
      </c>
      <c r="F126">
        <v>298</v>
      </c>
      <c r="G126">
        <v>79</v>
      </c>
      <c r="H126">
        <v>377</v>
      </c>
      <c r="I126" s="6">
        <v>19577</v>
      </c>
      <c r="J126">
        <v>0</v>
      </c>
      <c r="K126">
        <v>0</v>
      </c>
      <c r="L126" s="6">
        <v>19954</v>
      </c>
      <c r="M126" s="6">
        <v>19875</v>
      </c>
      <c r="N126">
        <v>79</v>
      </c>
    </row>
    <row r="127" spans="1:14" x14ac:dyDescent="0.25">
      <c r="A127">
        <v>2026</v>
      </c>
      <c r="B127" s="63" t="s">
        <v>15</v>
      </c>
      <c r="C127" s="1" t="s">
        <v>50</v>
      </c>
      <c r="D127" s="1" t="s">
        <v>529</v>
      </c>
      <c r="E127" t="s">
        <v>204</v>
      </c>
      <c r="F127">
        <v>257</v>
      </c>
      <c r="G127">
        <v>71</v>
      </c>
      <c r="H127">
        <v>328</v>
      </c>
      <c r="I127" s="6">
        <v>32856</v>
      </c>
      <c r="J127">
        <v>653</v>
      </c>
      <c r="K127">
        <v>728</v>
      </c>
      <c r="L127" s="6">
        <v>34565</v>
      </c>
      <c r="M127" s="6">
        <v>33113</v>
      </c>
      <c r="N127" s="6">
        <v>1452</v>
      </c>
    </row>
    <row r="128" spans="1:14" x14ac:dyDescent="0.25">
      <c r="A128">
        <v>2026</v>
      </c>
      <c r="B128" s="1" t="s">
        <v>18</v>
      </c>
      <c r="C128" s="1" t="s">
        <v>53</v>
      </c>
      <c r="D128" s="1" t="s">
        <v>530</v>
      </c>
      <c r="E128" t="s">
        <v>205</v>
      </c>
      <c r="F128">
        <v>0</v>
      </c>
      <c r="G128">
        <v>0</v>
      </c>
      <c r="H128">
        <v>0</v>
      </c>
      <c r="I128" s="6">
        <v>12941</v>
      </c>
      <c r="J128">
        <v>0</v>
      </c>
      <c r="K128">
        <v>0</v>
      </c>
      <c r="L128" s="6">
        <v>12941</v>
      </c>
      <c r="M128" s="6">
        <v>12941</v>
      </c>
      <c r="N128">
        <v>0</v>
      </c>
    </row>
    <row r="129" spans="1:14" x14ac:dyDescent="0.25">
      <c r="A129">
        <v>2026</v>
      </c>
      <c r="B129" s="1" t="s">
        <v>20</v>
      </c>
      <c r="C129" s="1" t="s">
        <v>55</v>
      </c>
      <c r="D129" s="1" t="s">
        <v>531</v>
      </c>
      <c r="E129" t="s">
        <v>206</v>
      </c>
      <c r="F129">
        <v>132</v>
      </c>
      <c r="G129">
        <v>36</v>
      </c>
      <c r="H129">
        <v>168</v>
      </c>
      <c r="I129" s="6">
        <v>8440</v>
      </c>
      <c r="J129">
        <v>0</v>
      </c>
      <c r="K129">
        <v>0</v>
      </c>
      <c r="L129" s="6">
        <v>8608</v>
      </c>
      <c r="M129" s="6">
        <v>8572</v>
      </c>
      <c r="N129">
        <v>36</v>
      </c>
    </row>
    <row r="130" spans="1:14" x14ac:dyDescent="0.25">
      <c r="A130">
        <v>2026</v>
      </c>
      <c r="B130" s="63" t="s">
        <v>15</v>
      </c>
      <c r="C130" s="1" t="s">
        <v>50</v>
      </c>
      <c r="D130" s="1" t="s">
        <v>532</v>
      </c>
      <c r="E130" t="s">
        <v>207</v>
      </c>
      <c r="F130">
        <v>425</v>
      </c>
      <c r="G130">
        <v>118</v>
      </c>
      <c r="H130">
        <v>543</v>
      </c>
      <c r="I130" s="6">
        <v>54440</v>
      </c>
      <c r="J130">
        <v>914</v>
      </c>
      <c r="K130" s="6">
        <v>1019</v>
      </c>
      <c r="L130" s="6">
        <v>56916</v>
      </c>
      <c r="M130" s="6">
        <v>54865</v>
      </c>
      <c r="N130" s="6">
        <v>2051</v>
      </c>
    </row>
    <row r="131" spans="1:14" x14ac:dyDescent="0.25">
      <c r="A131">
        <v>2026</v>
      </c>
      <c r="B131" s="1" t="s">
        <v>20</v>
      </c>
      <c r="C131" s="1" t="s">
        <v>55</v>
      </c>
      <c r="D131" s="1" t="s">
        <v>533</v>
      </c>
      <c r="E131" t="s">
        <v>208</v>
      </c>
      <c r="F131">
        <v>858</v>
      </c>
      <c r="G131">
        <v>228</v>
      </c>
      <c r="H131" s="6">
        <v>1086</v>
      </c>
      <c r="I131" s="6">
        <v>54558</v>
      </c>
      <c r="J131" s="6">
        <v>4874</v>
      </c>
      <c r="K131" s="6">
        <v>5390</v>
      </c>
      <c r="L131" s="6">
        <v>65908</v>
      </c>
      <c r="M131" s="6">
        <v>55416</v>
      </c>
      <c r="N131" s="6">
        <v>10492</v>
      </c>
    </row>
    <row r="132" spans="1:14" x14ac:dyDescent="0.25">
      <c r="A132">
        <v>2026</v>
      </c>
      <c r="B132" s="63" t="s">
        <v>14</v>
      </c>
      <c r="C132" s="1" t="s">
        <v>49</v>
      </c>
      <c r="D132" s="1" t="s">
        <v>534</v>
      </c>
      <c r="E132" t="s">
        <v>209</v>
      </c>
      <c r="F132">
        <v>0</v>
      </c>
      <c r="G132">
        <v>0</v>
      </c>
      <c r="H132">
        <v>0</v>
      </c>
      <c r="I132" s="6">
        <v>12492</v>
      </c>
      <c r="J132">
        <v>0</v>
      </c>
      <c r="K132">
        <v>0</v>
      </c>
      <c r="L132" s="6">
        <v>12492</v>
      </c>
      <c r="M132" s="6">
        <v>12492</v>
      </c>
      <c r="N132">
        <v>0</v>
      </c>
    </row>
    <row r="133" spans="1:14" x14ac:dyDescent="0.25">
      <c r="A133">
        <v>2026</v>
      </c>
      <c r="B133" s="1" t="s">
        <v>19</v>
      </c>
      <c r="C133" s="1" t="s">
        <v>54</v>
      </c>
      <c r="D133" s="1" t="s">
        <v>535</v>
      </c>
      <c r="E133" t="s">
        <v>210</v>
      </c>
      <c r="F133">
        <v>386</v>
      </c>
      <c r="G133">
        <v>112</v>
      </c>
      <c r="H133">
        <v>498</v>
      </c>
      <c r="I133" s="6">
        <v>26803</v>
      </c>
      <c r="J133" s="6">
        <v>9529</v>
      </c>
      <c r="K133" s="6">
        <v>10667</v>
      </c>
      <c r="L133" s="6">
        <v>47497</v>
      </c>
      <c r="M133" s="6">
        <v>27189</v>
      </c>
      <c r="N133" s="6">
        <v>20308</v>
      </c>
    </row>
    <row r="134" spans="1:14" x14ac:dyDescent="0.25">
      <c r="A134">
        <v>2026</v>
      </c>
      <c r="B134" s="1" t="s">
        <v>17</v>
      </c>
      <c r="C134" s="1" t="s">
        <v>52</v>
      </c>
      <c r="D134" s="1" t="s">
        <v>536</v>
      </c>
      <c r="E134" t="s">
        <v>211</v>
      </c>
      <c r="F134">
        <v>190</v>
      </c>
      <c r="G134">
        <v>50</v>
      </c>
      <c r="H134">
        <v>240</v>
      </c>
      <c r="I134" s="6">
        <v>21146</v>
      </c>
      <c r="J134" s="6">
        <v>1235</v>
      </c>
      <c r="K134" s="6">
        <v>1358</v>
      </c>
      <c r="L134" s="6">
        <v>23979</v>
      </c>
      <c r="M134" s="6">
        <v>21336</v>
      </c>
      <c r="N134" s="6">
        <v>2643</v>
      </c>
    </row>
    <row r="135" spans="1:14" x14ac:dyDescent="0.25">
      <c r="A135">
        <v>2026</v>
      </c>
      <c r="B135" s="1" t="s">
        <v>19</v>
      </c>
      <c r="C135" s="1" t="s">
        <v>54</v>
      </c>
      <c r="D135" s="1" t="s">
        <v>537</v>
      </c>
      <c r="E135" t="s">
        <v>212</v>
      </c>
      <c r="F135">
        <v>323</v>
      </c>
      <c r="G135">
        <v>93</v>
      </c>
      <c r="H135">
        <v>416</v>
      </c>
      <c r="I135" s="6">
        <v>22444</v>
      </c>
      <c r="J135" s="6">
        <v>1110</v>
      </c>
      <c r="K135" s="6">
        <v>1242</v>
      </c>
      <c r="L135" s="6">
        <v>25212</v>
      </c>
      <c r="M135" s="6">
        <v>22767</v>
      </c>
      <c r="N135" s="6">
        <v>2445</v>
      </c>
    </row>
    <row r="136" spans="1:14" x14ac:dyDescent="0.25">
      <c r="A136">
        <v>2026</v>
      </c>
      <c r="B136" s="1" t="s">
        <v>17</v>
      </c>
      <c r="C136" s="1" t="s">
        <v>52</v>
      </c>
      <c r="D136" s="1" t="s">
        <v>538</v>
      </c>
      <c r="E136" t="s">
        <v>213</v>
      </c>
      <c r="F136">
        <v>105</v>
      </c>
      <c r="G136">
        <v>27</v>
      </c>
      <c r="H136">
        <v>132</v>
      </c>
      <c r="I136" s="6">
        <v>11359</v>
      </c>
      <c r="J136">
        <v>325</v>
      </c>
      <c r="K136">
        <v>357</v>
      </c>
      <c r="L136" s="6">
        <v>12173</v>
      </c>
      <c r="M136" s="6">
        <v>11464</v>
      </c>
      <c r="N136">
        <v>709</v>
      </c>
    </row>
    <row r="137" spans="1:14" x14ac:dyDescent="0.25">
      <c r="A137">
        <v>2026</v>
      </c>
      <c r="B137" s="63" t="s">
        <v>13</v>
      </c>
      <c r="C137" s="1" t="s">
        <v>48</v>
      </c>
      <c r="D137" s="1" t="s">
        <v>539</v>
      </c>
      <c r="E137" t="s">
        <v>214</v>
      </c>
      <c r="F137">
        <v>936</v>
      </c>
      <c r="G137">
        <v>296</v>
      </c>
      <c r="H137" s="6">
        <v>1232</v>
      </c>
      <c r="I137" s="6">
        <v>47142</v>
      </c>
      <c r="J137" s="6">
        <v>7831</v>
      </c>
      <c r="K137" s="6">
        <v>8723</v>
      </c>
      <c r="L137" s="6">
        <v>64928</v>
      </c>
      <c r="M137" s="6">
        <v>48078</v>
      </c>
      <c r="N137" s="6">
        <v>16850</v>
      </c>
    </row>
    <row r="138" spans="1:14" x14ac:dyDescent="0.25">
      <c r="A138">
        <v>2026</v>
      </c>
      <c r="B138" s="63" t="s">
        <v>15</v>
      </c>
      <c r="C138" s="1" t="s">
        <v>50</v>
      </c>
      <c r="D138" s="1" t="s">
        <v>540</v>
      </c>
      <c r="E138" t="s">
        <v>215</v>
      </c>
      <c r="F138">
        <v>152</v>
      </c>
      <c r="G138">
        <v>42</v>
      </c>
      <c r="H138">
        <v>194</v>
      </c>
      <c r="I138" s="6">
        <v>19524</v>
      </c>
      <c r="J138">
        <v>0</v>
      </c>
      <c r="K138">
        <v>0</v>
      </c>
      <c r="L138" s="6">
        <v>19718</v>
      </c>
      <c r="M138" s="6">
        <v>19676</v>
      </c>
      <c r="N138">
        <v>42</v>
      </c>
    </row>
    <row r="139" spans="1:14" x14ac:dyDescent="0.25">
      <c r="A139">
        <v>2026</v>
      </c>
      <c r="B139" s="63" t="s">
        <v>15</v>
      </c>
      <c r="C139" s="1" t="s">
        <v>50</v>
      </c>
      <c r="D139" s="1" t="s">
        <v>541</v>
      </c>
      <c r="E139" t="s">
        <v>216</v>
      </c>
      <c r="F139">
        <v>293</v>
      </c>
      <c r="G139">
        <v>81</v>
      </c>
      <c r="H139">
        <v>374</v>
      </c>
      <c r="I139" s="6">
        <v>37430</v>
      </c>
      <c r="J139" s="6">
        <v>1698</v>
      </c>
      <c r="K139" s="6">
        <v>1892</v>
      </c>
      <c r="L139" s="6">
        <v>41394</v>
      </c>
      <c r="M139" s="6">
        <v>37723</v>
      </c>
      <c r="N139" s="6">
        <v>3671</v>
      </c>
    </row>
    <row r="140" spans="1:14" x14ac:dyDescent="0.25">
      <c r="A140">
        <v>2026</v>
      </c>
      <c r="B140" s="63" t="s">
        <v>14</v>
      </c>
      <c r="C140" s="1" t="s">
        <v>49</v>
      </c>
      <c r="D140" s="1" t="s">
        <v>542</v>
      </c>
      <c r="E140" t="s">
        <v>217</v>
      </c>
      <c r="F140">
        <v>0</v>
      </c>
      <c r="G140">
        <v>0</v>
      </c>
      <c r="H140">
        <v>0</v>
      </c>
      <c r="I140" s="6">
        <v>51177</v>
      </c>
      <c r="J140" s="6">
        <v>8690</v>
      </c>
      <c r="K140" s="6">
        <v>9730</v>
      </c>
      <c r="L140" s="6">
        <v>69597</v>
      </c>
      <c r="M140" s="6">
        <v>51177</v>
      </c>
      <c r="N140" s="6">
        <v>18420</v>
      </c>
    </row>
    <row r="141" spans="1:14" x14ac:dyDescent="0.25">
      <c r="A141">
        <v>2026</v>
      </c>
      <c r="B141" s="1" t="s">
        <v>20</v>
      </c>
      <c r="C141" s="1" t="s">
        <v>55</v>
      </c>
      <c r="D141" s="1" t="s">
        <v>543</v>
      </c>
      <c r="E141" t="s">
        <v>218</v>
      </c>
      <c r="F141">
        <v>442</v>
      </c>
      <c r="G141">
        <v>117</v>
      </c>
      <c r="H141">
        <v>559</v>
      </c>
      <c r="I141" s="6">
        <v>28111</v>
      </c>
      <c r="J141" s="6">
        <v>1300</v>
      </c>
      <c r="K141" s="6">
        <v>1437</v>
      </c>
      <c r="L141" s="6">
        <v>31407</v>
      </c>
      <c r="M141" s="6">
        <v>28553</v>
      </c>
      <c r="N141" s="6">
        <v>2854</v>
      </c>
    </row>
    <row r="142" spans="1:14" x14ac:dyDescent="0.25">
      <c r="A142">
        <v>2026</v>
      </c>
      <c r="B142" s="63" t="s">
        <v>15</v>
      </c>
      <c r="C142" s="1" t="s">
        <v>50</v>
      </c>
      <c r="D142" s="1" t="s">
        <v>544</v>
      </c>
      <c r="E142" t="s">
        <v>219</v>
      </c>
      <c r="F142">
        <v>516</v>
      </c>
      <c r="G142">
        <v>143</v>
      </c>
      <c r="H142">
        <v>659</v>
      </c>
      <c r="I142" s="6">
        <v>66429</v>
      </c>
      <c r="J142" s="6">
        <v>8945</v>
      </c>
      <c r="K142" s="6">
        <v>9971</v>
      </c>
      <c r="L142" s="6">
        <v>86004</v>
      </c>
      <c r="M142" s="6">
        <v>66945</v>
      </c>
      <c r="N142" s="6">
        <v>19059</v>
      </c>
    </row>
    <row r="143" spans="1:14" x14ac:dyDescent="0.25">
      <c r="A143">
        <v>2026</v>
      </c>
      <c r="B143" s="1" t="s">
        <v>18</v>
      </c>
      <c r="C143" s="1" t="s">
        <v>53</v>
      </c>
      <c r="D143" s="1" t="s">
        <v>545</v>
      </c>
      <c r="E143" t="s">
        <v>220</v>
      </c>
      <c r="F143">
        <v>0</v>
      </c>
      <c r="G143">
        <v>0</v>
      </c>
      <c r="H143">
        <v>0</v>
      </c>
      <c r="I143" s="6">
        <v>114616</v>
      </c>
      <c r="J143" s="6">
        <v>9405</v>
      </c>
      <c r="K143" s="6">
        <v>10336</v>
      </c>
      <c r="L143" s="6">
        <v>134357</v>
      </c>
      <c r="M143" s="6">
        <v>114616</v>
      </c>
      <c r="N143" s="6">
        <v>19741</v>
      </c>
    </row>
    <row r="144" spans="1:14" x14ac:dyDescent="0.25">
      <c r="A144">
        <v>2026</v>
      </c>
      <c r="B144" s="1" t="s">
        <v>18</v>
      </c>
      <c r="C144" s="1" t="s">
        <v>53</v>
      </c>
      <c r="D144" s="1" t="s">
        <v>546</v>
      </c>
      <c r="E144" t="s">
        <v>221</v>
      </c>
      <c r="F144">
        <v>0</v>
      </c>
      <c r="G144">
        <v>0</v>
      </c>
      <c r="H144">
        <v>0</v>
      </c>
      <c r="I144" s="6">
        <v>26599</v>
      </c>
      <c r="J144" s="6">
        <v>1038</v>
      </c>
      <c r="K144" s="6">
        <v>1140</v>
      </c>
      <c r="L144" s="6">
        <v>28777</v>
      </c>
      <c r="M144" s="6">
        <v>26599</v>
      </c>
      <c r="N144" s="6">
        <v>2178</v>
      </c>
    </row>
    <row r="145" spans="1:14" x14ac:dyDescent="0.25">
      <c r="A145">
        <v>2026</v>
      </c>
      <c r="B145" s="1" t="s">
        <v>17</v>
      </c>
      <c r="C145" s="1" t="s">
        <v>52</v>
      </c>
      <c r="D145" s="1" t="s">
        <v>547</v>
      </c>
      <c r="E145" t="s">
        <v>222</v>
      </c>
      <c r="F145" s="6">
        <v>4971</v>
      </c>
      <c r="G145" s="6">
        <v>1299</v>
      </c>
      <c r="H145" s="6">
        <v>6270</v>
      </c>
      <c r="I145" s="6">
        <v>536009</v>
      </c>
      <c r="J145" s="6">
        <v>89542</v>
      </c>
      <c r="K145" s="6">
        <v>98472</v>
      </c>
      <c r="L145" s="6">
        <v>730293</v>
      </c>
      <c r="M145" s="6">
        <v>540980</v>
      </c>
      <c r="N145" s="6">
        <v>189313</v>
      </c>
    </row>
    <row r="146" spans="1:14" x14ac:dyDescent="0.25">
      <c r="A146">
        <v>2026</v>
      </c>
      <c r="B146" s="63" t="s">
        <v>15</v>
      </c>
      <c r="C146" s="1" t="s">
        <v>50</v>
      </c>
      <c r="D146" s="1" t="s">
        <v>548</v>
      </c>
      <c r="E146" t="s">
        <v>223</v>
      </c>
      <c r="F146">
        <v>364</v>
      </c>
      <c r="G146">
        <v>101</v>
      </c>
      <c r="H146">
        <v>465</v>
      </c>
      <c r="I146" s="6">
        <v>47557</v>
      </c>
      <c r="J146">
        <v>196</v>
      </c>
      <c r="K146">
        <v>218</v>
      </c>
      <c r="L146" s="6">
        <v>48436</v>
      </c>
      <c r="M146" s="6">
        <v>47921</v>
      </c>
      <c r="N146">
        <v>515</v>
      </c>
    </row>
    <row r="147" spans="1:14" x14ac:dyDescent="0.25">
      <c r="A147">
        <v>2026</v>
      </c>
      <c r="B147" s="1" t="s">
        <v>17</v>
      </c>
      <c r="C147" s="1" t="s">
        <v>52</v>
      </c>
      <c r="D147" s="1" t="s">
        <v>549</v>
      </c>
      <c r="E147" t="s">
        <v>224</v>
      </c>
      <c r="F147">
        <v>166</v>
      </c>
      <c r="G147">
        <v>43</v>
      </c>
      <c r="H147">
        <v>209</v>
      </c>
      <c r="I147" s="6">
        <v>18214</v>
      </c>
      <c r="J147">
        <v>130</v>
      </c>
      <c r="K147">
        <v>143</v>
      </c>
      <c r="L147" s="6">
        <v>18696</v>
      </c>
      <c r="M147" s="6">
        <v>18380</v>
      </c>
      <c r="N147">
        <v>316</v>
      </c>
    </row>
    <row r="148" spans="1:14" x14ac:dyDescent="0.25">
      <c r="A148">
        <v>2026</v>
      </c>
      <c r="B148" s="63" t="s">
        <v>15</v>
      </c>
      <c r="C148" s="1" t="s">
        <v>50</v>
      </c>
      <c r="D148" s="1" t="s">
        <v>550</v>
      </c>
      <c r="E148" t="s">
        <v>225</v>
      </c>
      <c r="F148">
        <v>163</v>
      </c>
      <c r="G148">
        <v>45</v>
      </c>
      <c r="H148">
        <v>208</v>
      </c>
      <c r="I148" s="6">
        <v>21024</v>
      </c>
      <c r="J148" s="6">
        <v>1306</v>
      </c>
      <c r="K148" s="6">
        <v>1456</v>
      </c>
      <c r="L148" s="6">
        <v>23994</v>
      </c>
      <c r="M148" s="6">
        <v>21187</v>
      </c>
      <c r="N148" s="6">
        <v>2807</v>
      </c>
    </row>
    <row r="149" spans="1:14" x14ac:dyDescent="0.25">
      <c r="A149">
        <v>2026</v>
      </c>
      <c r="B149" s="63" t="s">
        <v>15</v>
      </c>
      <c r="C149" s="1" t="s">
        <v>50</v>
      </c>
      <c r="D149" s="1" t="s">
        <v>551</v>
      </c>
      <c r="E149" t="s">
        <v>226</v>
      </c>
      <c r="F149">
        <v>328</v>
      </c>
      <c r="G149">
        <v>91</v>
      </c>
      <c r="H149">
        <v>419</v>
      </c>
      <c r="I149" s="6">
        <v>41994</v>
      </c>
      <c r="J149" s="6">
        <v>7965</v>
      </c>
      <c r="K149" s="6">
        <v>8879</v>
      </c>
      <c r="L149" s="6">
        <v>59257</v>
      </c>
      <c r="M149" s="6">
        <v>42322</v>
      </c>
      <c r="N149" s="6">
        <v>16935</v>
      </c>
    </row>
    <row r="150" spans="1:14" x14ac:dyDescent="0.25">
      <c r="A150">
        <v>2026</v>
      </c>
      <c r="B150" s="1" t="s">
        <v>18</v>
      </c>
      <c r="C150" s="1" t="s">
        <v>53</v>
      </c>
      <c r="D150" s="1" t="s">
        <v>552</v>
      </c>
      <c r="E150" t="s">
        <v>227</v>
      </c>
      <c r="F150">
        <v>0</v>
      </c>
      <c r="G150">
        <v>0</v>
      </c>
      <c r="H150">
        <v>0</v>
      </c>
      <c r="I150" s="6">
        <v>221037</v>
      </c>
      <c r="J150" s="6">
        <v>33014</v>
      </c>
      <c r="K150" s="6">
        <v>36282</v>
      </c>
      <c r="L150" s="6">
        <v>290333</v>
      </c>
      <c r="M150" s="6">
        <v>221037</v>
      </c>
      <c r="N150" s="6">
        <v>69296</v>
      </c>
    </row>
    <row r="151" spans="1:14" x14ac:dyDescent="0.25">
      <c r="A151">
        <v>2026</v>
      </c>
      <c r="B151" s="1" t="s">
        <v>21</v>
      </c>
      <c r="C151" s="1" t="s">
        <v>56</v>
      </c>
      <c r="D151" s="1" t="s">
        <v>553</v>
      </c>
      <c r="E151" t="s">
        <v>228</v>
      </c>
      <c r="F151" s="6">
        <v>1358</v>
      </c>
      <c r="G151">
        <v>347</v>
      </c>
      <c r="H151" s="6">
        <v>1705</v>
      </c>
      <c r="I151" s="6">
        <v>75020</v>
      </c>
      <c r="J151" s="6">
        <v>6756</v>
      </c>
      <c r="K151" s="6">
        <v>7429</v>
      </c>
      <c r="L151" s="6">
        <v>90910</v>
      </c>
      <c r="M151" s="6">
        <v>76378</v>
      </c>
      <c r="N151" s="6">
        <v>14532</v>
      </c>
    </row>
    <row r="152" spans="1:14" x14ac:dyDescent="0.25">
      <c r="A152">
        <v>2026</v>
      </c>
      <c r="B152" s="1" t="s">
        <v>21</v>
      </c>
      <c r="C152" s="1" t="s">
        <v>56</v>
      </c>
      <c r="D152" s="1" t="s">
        <v>554</v>
      </c>
      <c r="E152" t="s">
        <v>229</v>
      </c>
      <c r="F152">
        <v>232</v>
      </c>
      <c r="G152">
        <v>59</v>
      </c>
      <c r="H152">
        <v>291</v>
      </c>
      <c r="I152" s="6">
        <v>13435</v>
      </c>
      <c r="J152">
        <v>260</v>
      </c>
      <c r="K152">
        <v>286</v>
      </c>
      <c r="L152" s="6">
        <v>14272</v>
      </c>
      <c r="M152" s="6">
        <v>13667</v>
      </c>
      <c r="N152">
        <v>605</v>
      </c>
    </row>
    <row r="153" spans="1:14" x14ac:dyDescent="0.25">
      <c r="A153">
        <v>2026</v>
      </c>
      <c r="B153" s="1" t="s">
        <v>19</v>
      </c>
      <c r="C153" s="1" t="s">
        <v>54</v>
      </c>
      <c r="D153" s="1" t="s">
        <v>555</v>
      </c>
      <c r="E153" t="s">
        <v>230</v>
      </c>
      <c r="F153">
        <v>282</v>
      </c>
      <c r="G153">
        <v>81</v>
      </c>
      <c r="H153">
        <v>363</v>
      </c>
      <c r="I153" s="6">
        <v>19532</v>
      </c>
      <c r="J153">
        <v>457</v>
      </c>
      <c r="K153">
        <v>511</v>
      </c>
      <c r="L153" s="6">
        <v>20863</v>
      </c>
      <c r="M153" s="6">
        <v>19814</v>
      </c>
      <c r="N153" s="6">
        <v>1049</v>
      </c>
    </row>
    <row r="154" spans="1:14" x14ac:dyDescent="0.25">
      <c r="A154">
        <v>2026</v>
      </c>
      <c r="B154" s="1" t="s">
        <v>18</v>
      </c>
      <c r="C154" s="1" t="s">
        <v>53</v>
      </c>
      <c r="D154" s="1" t="s">
        <v>556</v>
      </c>
      <c r="E154" t="s">
        <v>231</v>
      </c>
      <c r="F154">
        <v>0</v>
      </c>
      <c r="G154">
        <v>0</v>
      </c>
      <c r="H154">
        <v>0</v>
      </c>
      <c r="I154" s="6">
        <v>57674</v>
      </c>
      <c r="J154">
        <v>908</v>
      </c>
      <c r="K154">
        <v>998</v>
      </c>
      <c r="L154" s="6">
        <v>59580</v>
      </c>
      <c r="M154" s="6">
        <v>57674</v>
      </c>
      <c r="N154" s="6">
        <v>1906</v>
      </c>
    </row>
    <row r="155" spans="1:14" x14ac:dyDescent="0.25">
      <c r="A155">
        <v>2026</v>
      </c>
      <c r="B155" s="63" t="s">
        <v>15</v>
      </c>
      <c r="C155" s="1" t="s">
        <v>50</v>
      </c>
      <c r="D155" s="1" t="s">
        <v>557</v>
      </c>
      <c r="E155" t="s">
        <v>232</v>
      </c>
      <c r="F155">
        <v>213</v>
      </c>
      <c r="G155">
        <v>58</v>
      </c>
      <c r="H155">
        <v>271</v>
      </c>
      <c r="I155" s="6">
        <v>27333</v>
      </c>
      <c r="J155">
        <v>131</v>
      </c>
      <c r="K155">
        <v>146</v>
      </c>
      <c r="L155" s="6">
        <v>27881</v>
      </c>
      <c r="M155" s="6">
        <v>27546</v>
      </c>
      <c r="N155">
        <v>335</v>
      </c>
    </row>
    <row r="156" spans="1:14" x14ac:dyDescent="0.25">
      <c r="A156">
        <v>2026</v>
      </c>
      <c r="B156" s="1" t="s">
        <v>20</v>
      </c>
      <c r="C156" s="1" t="s">
        <v>55</v>
      </c>
      <c r="D156" s="1" t="s">
        <v>558</v>
      </c>
      <c r="E156" t="s">
        <v>233</v>
      </c>
      <c r="F156">
        <v>190</v>
      </c>
      <c r="G156">
        <v>51</v>
      </c>
      <c r="H156">
        <v>241</v>
      </c>
      <c r="I156" s="6">
        <v>12109</v>
      </c>
      <c r="J156">
        <v>0</v>
      </c>
      <c r="K156">
        <v>0</v>
      </c>
      <c r="L156" s="6">
        <v>12350</v>
      </c>
      <c r="M156" s="6">
        <v>12299</v>
      </c>
      <c r="N156">
        <v>51</v>
      </c>
    </row>
    <row r="157" spans="1:14" x14ac:dyDescent="0.25">
      <c r="A157">
        <v>2026</v>
      </c>
      <c r="B157" s="63" t="s">
        <v>14</v>
      </c>
      <c r="C157" s="1" t="s">
        <v>49</v>
      </c>
      <c r="D157" s="1" t="s">
        <v>559</v>
      </c>
      <c r="E157" t="s">
        <v>234</v>
      </c>
      <c r="F157">
        <v>0</v>
      </c>
      <c r="G157">
        <v>0</v>
      </c>
      <c r="H157">
        <v>0</v>
      </c>
      <c r="I157" s="6">
        <v>14164</v>
      </c>
      <c r="J157">
        <v>131</v>
      </c>
      <c r="K157">
        <v>146</v>
      </c>
      <c r="L157" s="6">
        <v>14441</v>
      </c>
      <c r="M157" s="6">
        <v>14164</v>
      </c>
      <c r="N157">
        <v>277</v>
      </c>
    </row>
    <row r="158" spans="1:14" x14ac:dyDescent="0.25">
      <c r="A158">
        <v>2026</v>
      </c>
      <c r="B158" s="1" t="s">
        <v>19</v>
      </c>
      <c r="C158" s="1" t="s">
        <v>54</v>
      </c>
      <c r="D158" s="1" t="s">
        <v>560</v>
      </c>
      <c r="E158" t="s">
        <v>235</v>
      </c>
      <c r="F158">
        <v>345</v>
      </c>
      <c r="G158">
        <v>100</v>
      </c>
      <c r="H158">
        <v>445</v>
      </c>
      <c r="I158" s="6">
        <v>23934</v>
      </c>
      <c r="J158" s="6">
        <v>1501</v>
      </c>
      <c r="K158" s="6">
        <v>1680</v>
      </c>
      <c r="L158" s="6">
        <v>27560</v>
      </c>
      <c r="M158" s="6">
        <v>24279</v>
      </c>
      <c r="N158" s="6">
        <v>3281</v>
      </c>
    </row>
    <row r="159" spans="1:14" x14ac:dyDescent="0.25">
      <c r="A159">
        <v>2026</v>
      </c>
      <c r="B159" s="1" t="s">
        <v>19</v>
      </c>
      <c r="C159" s="1" t="s">
        <v>54</v>
      </c>
      <c r="D159" s="1" t="s">
        <v>561</v>
      </c>
      <c r="E159" t="s">
        <v>236</v>
      </c>
      <c r="F159" s="6">
        <v>1286</v>
      </c>
      <c r="G159">
        <v>372</v>
      </c>
      <c r="H159" s="6">
        <v>1658</v>
      </c>
      <c r="I159" s="6">
        <v>89084</v>
      </c>
      <c r="J159" s="6">
        <v>32831</v>
      </c>
      <c r="K159" s="6">
        <v>36749</v>
      </c>
      <c r="L159" s="6">
        <v>160322</v>
      </c>
      <c r="M159" s="6">
        <v>90370</v>
      </c>
      <c r="N159" s="6">
        <v>69952</v>
      </c>
    </row>
    <row r="160" spans="1:14" x14ac:dyDescent="0.25">
      <c r="A160">
        <v>2026</v>
      </c>
      <c r="B160" s="1" t="s">
        <v>20</v>
      </c>
      <c r="C160" s="1" t="s">
        <v>55</v>
      </c>
      <c r="D160" s="1" t="s">
        <v>562</v>
      </c>
      <c r="E160" t="s">
        <v>237</v>
      </c>
      <c r="F160">
        <v>282</v>
      </c>
      <c r="G160">
        <v>74</v>
      </c>
      <c r="H160">
        <v>356</v>
      </c>
      <c r="I160" s="6">
        <v>17931</v>
      </c>
      <c r="J160">
        <v>0</v>
      </c>
      <c r="K160">
        <v>0</v>
      </c>
      <c r="L160" s="6">
        <v>18287</v>
      </c>
      <c r="M160" s="6">
        <v>18213</v>
      </c>
      <c r="N160">
        <v>74</v>
      </c>
    </row>
    <row r="161" spans="1:14" x14ac:dyDescent="0.25">
      <c r="A161">
        <v>2026</v>
      </c>
      <c r="B161" s="1" t="s">
        <v>20</v>
      </c>
      <c r="C161" s="1" t="s">
        <v>55</v>
      </c>
      <c r="D161" s="1" t="s">
        <v>563</v>
      </c>
      <c r="E161" t="s">
        <v>238</v>
      </c>
      <c r="F161" s="6">
        <v>1708</v>
      </c>
      <c r="G161">
        <v>453</v>
      </c>
      <c r="H161" s="6">
        <v>2161</v>
      </c>
      <c r="I161" s="6">
        <v>108628</v>
      </c>
      <c r="J161" s="6">
        <v>16312</v>
      </c>
      <c r="K161" s="6">
        <v>18037</v>
      </c>
      <c r="L161" s="6">
        <v>145138</v>
      </c>
      <c r="M161" s="6">
        <v>110336</v>
      </c>
      <c r="N161" s="6">
        <v>34802</v>
      </c>
    </row>
    <row r="162" spans="1:14" x14ac:dyDescent="0.25">
      <c r="A162">
        <v>2026</v>
      </c>
      <c r="B162" s="1" t="s">
        <v>17</v>
      </c>
      <c r="C162" s="1" t="s">
        <v>52</v>
      </c>
      <c r="D162" s="1" t="s">
        <v>564</v>
      </c>
      <c r="E162" t="s">
        <v>239</v>
      </c>
      <c r="F162" s="6">
        <v>2550</v>
      </c>
      <c r="G162">
        <v>667</v>
      </c>
      <c r="H162" s="6">
        <v>3217</v>
      </c>
      <c r="I162" s="6">
        <v>274966</v>
      </c>
      <c r="J162" s="6">
        <v>43926</v>
      </c>
      <c r="K162" s="6">
        <v>48307</v>
      </c>
      <c r="L162" s="6">
        <v>370416</v>
      </c>
      <c r="M162" s="6">
        <v>277516</v>
      </c>
      <c r="N162" s="6">
        <v>92900</v>
      </c>
    </row>
    <row r="163" spans="1:14" x14ac:dyDescent="0.25">
      <c r="A163">
        <v>2026</v>
      </c>
      <c r="B163" s="1" t="s">
        <v>17</v>
      </c>
      <c r="C163" s="1" t="s">
        <v>52</v>
      </c>
      <c r="D163" s="1" t="s">
        <v>565</v>
      </c>
      <c r="E163" t="s">
        <v>240</v>
      </c>
      <c r="F163">
        <v>232</v>
      </c>
      <c r="G163">
        <v>60</v>
      </c>
      <c r="H163">
        <v>292</v>
      </c>
      <c r="I163" s="6">
        <v>24954</v>
      </c>
      <c r="J163">
        <v>520</v>
      </c>
      <c r="K163">
        <v>572</v>
      </c>
      <c r="L163" s="6">
        <v>26338</v>
      </c>
      <c r="M163" s="6">
        <v>25186</v>
      </c>
      <c r="N163" s="6">
        <v>1152</v>
      </c>
    </row>
    <row r="164" spans="1:14" x14ac:dyDescent="0.25">
      <c r="A164">
        <v>2026</v>
      </c>
      <c r="B164" s="1" t="s">
        <v>20</v>
      </c>
      <c r="C164" s="1" t="s">
        <v>55</v>
      </c>
      <c r="D164" s="1" t="s">
        <v>566</v>
      </c>
      <c r="E164" t="s">
        <v>241</v>
      </c>
      <c r="F164">
        <v>362</v>
      </c>
      <c r="G164">
        <v>95</v>
      </c>
      <c r="H164">
        <v>457</v>
      </c>
      <c r="I164" s="6">
        <v>23029</v>
      </c>
      <c r="J164">
        <v>130</v>
      </c>
      <c r="K164">
        <v>144</v>
      </c>
      <c r="L164" s="6">
        <v>23760</v>
      </c>
      <c r="M164" s="6">
        <v>23391</v>
      </c>
      <c r="N164">
        <v>369</v>
      </c>
    </row>
    <row r="165" spans="1:14" x14ac:dyDescent="0.25">
      <c r="A165">
        <v>2026</v>
      </c>
      <c r="B165" s="1" t="s">
        <v>17</v>
      </c>
      <c r="C165" s="1" t="s">
        <v>52</v>
      </c>
      <c r="D165" s="1" t="s">
        <v>567</v>
      </c>
      <c r="E165" t="s">
        <v>242</v>
      </c>
      <c r="F165">
        <v>102</v>
      </c>
      <c r="G165">
        <v>27</v>
      </c>
      <c r="H165">
        <v>129</v>
      </c>
      <c r="I165" s="6">
        <v>10678</v>
      </c>
      <c r="J165">
        <v>520</v>
      </c>
      <c r="K165">
        <v>572</v>
      </c>
      <c r="L165" s="6">
        <v>11899</v>
      </c>
      <c r="M165" s="6">
        <v>10780</v>
      </c>
      <c r="N165" s="6">
        <v>1119</v>
      </c>
    </row>
    <row r="166" spans="1:14" x14ac:dyDescent="0.25">
      <c r="A166">
        <v>2026</v>
      </c>
      <c r="B166" s="63" t="s">
        <v>16</v>
      </c>
      <c r="C166" s="1" t="s">
        <v>51</v>
      </c>
      <c r="D166" s="1" t="s">
        <v>568</v>
      </c>
      <c r="E166" t="s">
        <v>243</v>
      </c>
      <c r="F166">
        <v>353</v>
      </c>
      <c r="G166">
        <v>95</v>
      </c>
      <c r="H166">
        <v>448</v>
      </c>
      <c r="I166" s="6">
        <v>24436</v>
      </c>
      <c r="J166">
        <v>194</v>
      </c>
      <c r="K166">
        <v>213</v>
      </c>
      <c r="L166" s="6">
        <v>25291</v>
      </c>
      <c r="M166" s="6">
        <v>24789</v>
      </c>
      <c r="N166">
        <v>502</v>
      </c>
    </row>
    <row r="167" spans="1:14" x14ac:dyDescent="0.25">
      <c r="A167">
        <v>2026</v>
      </c>
      <c r="B167" s="1" t="s">
        <v>18</v>
      </c>
      <c r="C167" s="1" t="s">
        <v>53</v>
      </c>
      <c r="D167" s="1" t="s">
        <v>569</v>
      </c>
      <c r="E167" t="s">
        <v>244</v>
      </c>
      <c r="F167">
        <v>0</v>
      </c>
      <c r="G167">
        <v>0</v>
      </c>
      <c r="H167">
        <v>0</v>
      </c>
      <c r="I167" s="6">
        <v>14185</v>
      </c>
      <c r="J167" s="6">
        <v>4086</v>
      </c>
      <c r="K167" s="6">
        <v>4491</v>
      </c>
      <c r="L167" s="6">
        <v>22762</v>
      </c>
      <c r="M167" s="6">
        <v>14185</v>
      </c>
      <c r="N167" s="6">
        <v>8577</v>
      </c>
    </row>
    <row r="168" spans="1:14" x14ac:dyDescent="0.25">
      <c r="A168">
        <v>2026</v>
      </c>
      <c r="B168" s="1" t="s">
        <v>18</v>
      </c>
      <c r="C168" s="1" t="s">
        <v>53</v>
      </c>
      <c r="D168" s="1" t="s">
        <v>570</v>
      </c>
      <c r="E168" t="s">
        <v>245</v>
      </c>
      <c r="F168">
        <v>0</v>
      </c>
      <c r="G168">
        <v>0</v>
      </c>
      <c r="H168">
        <v>0</v>
      </c>
      <c r="I168" s="6">
        <v>20787</v>
      </c>
      <c r="J168">
        <v>65</v>
      </c>
      <c r="K168">
        <v>71</v>
      </c>
      <c r="L168" s="6">
        <v>20923</v>
      </c>
      <c r="M168" s="6">
        <v>20787</v>
      </c>
      <c r="N168">
        <v>136</v>
      </c>
    </row>
    <row r="169" spans="1:14" x14ac:dyDescent="0.25">
      <c r="A169">
        <v>2026</v>
      </c>
      <c r="B169" s="63" t="s">
        <v>14</v>
      </c>
      <c r="C169" s="1" t="s">
        <v>49</v>
      </c>
      <c r="D169" s="1" t="s">
        <v>571</v>
      </c>
      <c r="E169" t="s">
        <v>246</v>
      </c>
      <c r="F169">
        <v>0</v>
      </c>
      <c r="G169">
        <v>0</v>
      </c>
      <c r="H169">
        <v>0</v>
      </c>
      <c r="I169" s="6">
        <v>27510</v>
      </c>
      <c r="J169" s="6">
        <v>5097</v>
      </c>
      <c r="K169" s="6">
        <v>5706</v>
      </c>
      <c r="L169" s="6">
        <v>38313</v>
      </c>
      <c r="M169" s="6">
        <v>27510</v>
      </c>
      <c r="N169" s="6">
        <v>10803</v>
      </c>
    </row>
    <row r="170" spans="1:14" x14ac:dyDescent="0.25">
      <c r="A170">
        <v>2026</v>
      </c>
      <c r="B170" s="1" t="s">
        <v>19</v>
      </c>
      <c r="C170" s="1" t="s">
        <v>54</v>
      </c>
      <c r="D170" s="1" t="s">
        <v>572</v>
      </c>
      <c r="E170" t="s">
        <v>247</v>
      </c>
      <c r="F170">
        <v>323</v>
      </c>
      <c r="G170">
        <v>93</v>
      </c>
      <c r="H170">
        <v>416</v>
      </c>
      <c r="I170" s="6">
        <v>22583</v>
      </c>
      <c r="J170" s="6">
        <v>2415</v>
      </c>
      <c r="K170" s="6">
        <v>2703</v>
      </c>
      <c r="L170" s="6">
        <v>28117</v>
      </c>
      <c r="M170" s="6">
        <v>22906</v>
      </c>
      <c r="N170" s="6">
        <v>5211</v>
      </c>
    </row>
    <row r="171" spans="1:14" x14ac:dyDescent="0.25">
      <c r="A171">
        <v>2026</v>
      </c>
      <c r="B171" s="63" t="s">
        <v>16</v>
      </c>
      <c r="C171" s="1" t="s">
        <v>51</v>
      </c>
      <c r="D171" s="1" t="s">
        <v>573</v>
      </c>
      <c r="E171" t="s">
        <v>248</v>
      </c>
      <c r="F171">
        <v>687</v>
      </c>
      <c r="G171">
        <v>185</v>
      </c>
      <c r="H171">
        <v>872</v>
      </c>
      <c r="I171" s="6">
        <v>47520</v>
      </c>
      <c r="J171" s="6">
        <v>9331</v>
      </c>
      <c r="K171" s="6">
        <v>10204</v>
      </c>
      <c r="L171" s="6">
        <v>67927</v>
      </c>
      <c r="M171" s="6">
        <v>48207</v>
      </c>
      <c r="N171" s="6">
        <v>19720</v>
      </c>
    </row>
    <row r="172" spans="1:14" x14ac:dyDescent="0.25">
      <c r="A172">
        <v>2026</v>
      </c>
      <c r="B172" s="63" t="s">
        <v>13</v>
      </c>
      <c r="C172" s="1" t="s">
        <v>48</v>
      </c>
      <c r="D172" s="1" t="s">
        <v>574</v>
      </c>
      <c r="E172" t="s">
        <v>249</v>
      </c>
      <c r="F172">
        <v>535</v>
      </c>
      <c r="G172">
        <v>170</v>
      </c>
      <c r="H172">
        <v>705</v>
      </c>
      <c r="I172" s="6">
        <v>27006</v>
      </c>
      <c r="J172" s="6">
        <v>2610</v>
      </c>
      <c r="K172" s="6">
        <v>2908</v>
      </c>
      <c r="L172" s="6">
        <v>33229</v>
      </c>
      <c r="M172" s="6">
        <v>27541</v>
      </c>
      <c r="N172" s="6">
        <v>5688</v>
      </c>
    </row>
    <row r="173" spans="1:14" x14ac:dyDescent="0.25">
      <c r="A173">
        <v>2026</v>
      </c>
      <c r="B173" s="1" t="s">
        <v>19</v>
      </c>
      <c r="C173" s="1" t="s">
        <v>54</v>
      </c>
      <c r="D173" s="1" t="s">
        <v>575</v>
      </c>
      <c r="E173" t="s">
        <v>250</v>
      </c>
      <c r="F173">
        <v>262</v>
      </c>
      <c r="G173">
        <v>76</v>
      </c>
      <c r="H173">
        <v>338</v>
      </c>
      <c r="I173" s="6">
        <v>18497</v>
      </c>
      <c r="J173">
        <v>849</v>
      </c>
      <c r="K173">
        <v>950</v>
      </c>
      <c r="L173" s="6">
        <v>20634</v>
      </c>
      <c r="M173" s="6">
        <v>18759</v>
      </c>
      <c r="N173" s="6">
        <v>1875</v>
      </c>
    </row>
    <row r="174" spans="1:14" x14ac:dyDescent="0.25">
      <c r="A174">
        <v>2026</v>
      </c>
      <c r="B174" s="1" t="s">
        <v>17</v>
      </c>
      <c r="C174" s="1" t="s">
        <v>52</v>
      </c>
      <c r="D174" s="1" t="s">
        <v>576</v>
      </c>
      <c r="E174" t="s">
        <v>251</v>
      </c>
      <c r="F174">
        <v>610</v>
      </c>
      <c r="G174">
        <v>159</v>
      </c>
      <c r="H174">
        <v>769</v>
      </c>
      <c r="I174" s="6">
        <v>65817</v>
      </c>
      <c r="J174" s="6">
        <v>7018</v>
      </c>
      <c r="K174" s="6">
        <v>7718</v>
      </c>
      <c r="L174" s="6">
        <v>81322</v>
      </c>
      <c r="M174" s="6">
        <v>66427</v>
      </c>
      <c r="N174" s="6">
        <v>14895</v>
      </c>
    </row>
    <row r="175" spans="1:14" x14ac:dyDescent="0.25">
      <c r="A175">
        <v>2026</v>
      </c>
      <c r="B175" s="63" t="s">
        <v>15</v>
      </c>
      <c r="C175" s="1" t="s">
        <v>50</v>
      </c>
      <c r="D175" s="1" t="s">
        <v>577</v>
      </c>
      <c r="E175" t="s">
        <v>252</v>
      </c>
      <c r="F175" s="6">
        <v>2078</v>
      </c>
      <c r="G175">
        <v>576</v>
      </c>
      <c r="H175" s="6">
        <v>2654</v>
      </c>
      <c r="I175" s="6">
        <v>266675</v>
      </c>
      <c r="J175" s="6">
        <v>19522</v>
      </c>
      <c r="K175" s="6">
        <v>21761</v>
      </c>
      <c r="L175" s="6">
        <v>310612</v>
      </c>
      <c r="M175" s="6">
        <v>268753</v>
      </c>
      <c r="N175" s="6">
        <v>41859</v>
      </c>
    </row>
    <row r="176" spans="1:14" x14ac:dyDescent="0.25">
      <c r="A176">
        <v>2026</v>
      </c>
      <c r="B176" s="1" t="s">
        <v>18</v>
      </c>
      <c r="C176" s="1" t="s">
        <v>53</v>
      </c>
      <c r="D176" s="1" t="s">
        <v>578</v>
      </c>
      <c r="E176" t="s">
        <v>253</v>
      </c>
      <c r="F176">
        <v>0</v>
      </c>
      <c r="G176">
        <v>0</v>
      </c>
      <c r="H176">
        <v>0</v>
      </c>
      <c r="I176" s="6">
        <v>15455</v>
      </c>
      <c r="J176" s="6">
        <v>1557</v>
      </c>
      <c r="K176" s="6">
        <v>1711</v>
      </c>
      <c r="L176" s="6">
        <v>18723</v>
      </c>
      <c r="M176" s="6">
        <v>15455</v>
      </c>
      <c r="N176" s="6">
        <v>3268</v>
      </c>
    </row>
    <row r="177" spans="1:14" x14ac:dyDescent="0.25">
      <c r="A177">
        <v>2026</v>
      </c>
      <c r="B177" s="63" t="s">
        <v>15</v>
      </c>
      <c r="C177" s="1" t="s">
        <v>50</v>
      </c>
      <c r="D177" s="1" t="s">
        <v>579</v>
      </c>
      <c r="E177" t="s">
        <v>254</v>
      </c>
      <c r="F177" s="6">
        <v>1314</v>
      </c>
      <c r="G177">
        <v>364</v>
      </c>
      <c r="H177" s="6">
        <v>1678</v>
      </c>
      <c r="I177" s="6">
        <v>169538</v>
      </c>
      <c r="J177" s="6">
        <v>37868</v>
      </c>
      <c r="K177" s="6">
        <v>42212</v>
      </c>
      <c r="L177" s="6">
        <v>251296</v>
      </c>
      <c r="M177" s="6">
        <v>170852</v>
      </c>
      <c r="N177" s="6">
        <v>80444</v>
      </c>
    </row>
    <row r="178" spans="1:14" x14ac:dyDescent="0.25">
      <c r="A178">
        <v>2026</v>
      </c>
      <c r="B178" s="1" t="s">
        <v>21</v>
      </c>
      <c r="C178" s="1" t="s">
        <v>56</v>
      </c>
      <c r="D178" s="1" t="s">
        <v>580</v>
      </c>
      <c r="E178" t="s">
        <v>255</v>
      </c>
      <c r="F178">
        <v>604</v>
      </c>
      <c r="G178">
        <v>155</v>
      </c>
      <c r="H178">
        <v>759</v>
      </c>
      <c r="I178" s="6">
        <v>33468</v>
      </c>
      <c r="J178">
        <v>455</v>
      </c>
      <c r="K178">
        <v>500</v>
      </c>
      <c r="L178" s="6">
        <v>35182</v>
      </c>
      <c r="M178" s="6">
        <v>34072</v>
      </c>
      <c r="N178" s="6">
        <v>1110</v>
      </c>
    </row>
    <row r="179" spans="1:14" x14ac:dyDescent="0.25">
      <c r="A179">
        <v>2026</v>
      </c>
      <c r="B179" s="1" t="s">
        <v>18</v>
      </c>
      <c r="C179" s="1" t="s">
        <v>53</v>
      </c>
      <c r="D179" s="1" t="s">
        <v>581</v>
      </c>
      <c r="E179" t="s">
        <v>256</v>
      </c>
      <c r="F179">
        <v>0</v>
      </c>
      <c r="G179">
        <v>0</v>
      </c>
      <c r="H179">
        <v>0</v>
      </c>
      <c r="I179" s="6">
        <v>9453</v>
      </c>
      <c r="J179">
        <v>130</v>
      </c>
      <c r="K179">
        <v>143</v>
      </c>
      <c r="L179" s="6">
        <v>9726</v>
      </c>
      <c r="M179" s="6">
        <v>9453</v>
      </c>
      <c r="N179">
        <v>273</v>
      </c>
    </row>
    <row r="180" spans="1:14" x14ac:dyDescent="0.25">
      <c r="A180">
        <v>2026</v>
      </c>
      <c r="B180" s="63" t="s">
        <v>13</v>
      </c>
      <c r="C180" s="1" t="s">
        <v>48</v>
      </c>
      <c r="D180" s="1" t="s">
        <v>582</v>
      </c>
      <c r="E180" t="s">
        <v>257</v>
      </c>
      <c r="F180">
        <v>640</v>
      </c>
      <c r="G180">
        <v>203</v>
      </c>
      <c r="H180">
        <v>843</v>
      </c>
      <c r="I180" s="6">
        <v>32300</v>
      </c>
      <c r="J180">
        <v>392</v>
      </c>
      <c r="K180">
        <v>436</v>
      </c>
      <c r="L180" s="6">
        <v>33971</v>
      </c>
      <c r="M180" s="6">
        <v>32940</v>
      </c>
      <c r="N180" s="6">
        <v>1031</v>
      </c>
    </row>
    <row r="181" spans="1:14" x14ac:dyDescent="0.25">
      <c r="A181">
        <v>2026</v>
      </c>
      <c r="B181" s="1" t="s">
        <v>17</v>
      </c>
      <c r="C181" s="1" t="s">
        <v>52</v>
      </c>
      <c r="D181" s="1" t="s">
        <v>583</v>
      </c>
      <c r="E181" t="s">
        <v>258</v>
      </c>
      <c r="F181">
        <v>397</v>
      </c>
      <c r="G181">
        <v>104</v>
      </c>
      <c r="H181">
        <v>501</v>
      </c>
      <c r="I181" s="6">
        <v>43066</v>
      </c>
      <c r="J181" s="6">
        <v>10657</v>
      </c>
      <c r="K181" s="6">
        <v>11719</v>
      </c>
      <c r="L181" s="6">
        <v>65943</v>
      </c>
      <c r="M181" s="6">
        <v>43463</v>
      </c>
      <c r="N181" s="6">
        <v>22480</v>
      </c>
    </row>
    <row r="182" spans="1:14" x14ac:dyDescent="0.25">
      <c r="A182">
        <v>2026</v>
      </c>
      <c r="B182" s="1" t="s">
        <v>17</v>
      </c>
      <c r="C182" s="1" t="s">
        <v>52</v>
      </c>
      <c r="D182" s="1" t="s">
        <v>584</v>
      </c>
      <c r="E182" t="s">
        <v>259</v>
      </c>
      <c r="F182">
        <v>174</v>
      </c>
      <c r="G182">
        <v>45</v>
      </c>
      <c r="H182">
        <v>219</v>
      </c>
      <c r="I182" s="6">
        <v>18824</v>
      </c>
      <c r="J182">
        <v>260</v>
      </c>
      <c r="K182">
        <v>286</v>
      </c>
      <c r="L182" s="6">
        <v>19589</v>
      </c>
      <c r="M182" s="6">
        <v>18998</v>
      </c>
      <c r="N182">
        <v>591</v>
      </c>
    </row>
    <row r="183" spans="1:14" x14ac:dyDescent="0.25">
      <c r="A183">
        <v>2026</v>
      </c>
      <c r="B183" s="1" t="s">
        <v>20</v>
      </c>
      <c r="C183" s="1" t="s">
        <v>55</v>
      </c>
      <c r="D183" s="1" t="s">
        <v>585</v>
      </c>
      <c r="E183" t="s">
        <v>260</v>
      </c>
      <c r="F183">
        <v>483</v>
      </c>
      <c r="G183">
        <v>128</v>
      </c>
      <c r="H183">
        <v>611</v>
      </c>
      <c r="I183" s="6">
        <v>30659</v>
      </c>
      <c r="J183">
        <v>520</v>
      </c>
      <c r="K183">
        <v>575</v>
      </c>
      <c r="L183" s="6">
        <v>32365</v>
      </c>
      <c r="M183" s="6">
        <v>31142</v>
      </c>
      <c r="N183" s="6">
        <v>1223</v>
      </c>
    </row>
    <row r="184" spans="1:14" x14ac:dyDescent="0.25">
      <c r="A184">
        <v>2026</v>
      </c>
      <c r="B184" s="1" t="s">
        <v>19</v>
      </c>
      <c r="C184" s="1" t="s">
        <v>54</v>
      </c>
      <c r="D184" s="1" t="s">
        <v>586</v>
      </c>
      <c r="E184" t="s">
        <v>261</v>
      </c>
      <c r="F184">
        <v>903</v>
      </c>
      <c r="G184">
        <v>260</v>
      </c>
      <c r="H184" s="6">
        <v>1163</v>
      </c>
      <c r="I184" s="6">
        <v>62534</v>
      </c>
      <c r="J184" s="6">
        <v>36943</v>
      </c>
      <c r="K184" s="6">
        <v>41352</v>
      </c>
      <c r="L184" s="6">
        <v>141992</v>
      </c>
      <c r="M184" s="6">
        <v>63437</v>
      </c>
      <c r="N184" s="6">
        <v>78555</v>
      </c>
    </row>
    <row r="185" spans="1:14" x14ac:dyDescent="0.25">
      <c r="A185">
        <v>2026</v>
      </c>
      <c r="B185" s="63" t="s">
        <v>15</v>
      </c>
      <c r="C185" s="1" t="s">
        <v>50</v>
      </c>
      <c r="D185" s="1" t="s">
        <v>587</v>
      </c>
      <c r="E185" t="s">
        <v>262</v>
      </c>
      <c r="F185">
        <v>168</v>
      </c>
      <c r="G185">
        <v>47</v>
      </c>
      <c r="H185">
        <v>215</v>
      </c>
      <c r="I185" s="6">
        <v>21779</v>
      </c>
      <c r="J185">
        <v>392</v>
      </c>
      <c r="K185">
        <v>437</v>
      </c>
      <c r="L185" s="6">
        <v>22823</v>
      </c>
      <c r="M185" s="6">
        <v>21947</v>
      </c>
      <c r="N185">
        <v>876</v>
      </c>
    </row>
    <row r="186" spans="1:14" x14ac:dyDescent="0.25">
      <c r="A186">
        <v>2026</v>
      </c>
      <c r="B186" s="1" t="s">
        <v>17</v>
      </c>
      <c r="C186" s="1" t="s">
        <v>52</v>
      </c>
      <c r="D186" s="1" t="s">
        <v>588</v>
      </c>
      <c r="E186" t="s">
        <v>263</v>
      </c>
      <c r="F186">
        <v>337</v>
      </c>
      <c r="G186">
        <v>88</v>
      </c>
      <c r="H186">
        <v>425</v>
      </c>
      <c r="I186" s="6">
        <v>36222</v>
      </c>
      <c r="J186" s="6">
        <v>2989</v>
      </c>
      <c r="K186" s="6">
        <v>3287</v>
      </c>
      <c r="L186" s="6">
        <v>42923</v>
      </c>
      <c r="M186" s="6">
        <v>36559</v>
      </c>
      <c r="N186" s="6">
        <v>6364</v>
      </c>
    </row>
    <row r="187" spans="1:14" x14ac:dyDescent="0.25">
      <c r="A187">
        <v>2026</v>
      </c>
      <c r="B187" s="1" t="s">
        <v>21</v>
      </c>
      <c r="C187" s="1" t="s">
        <v>56</v>
      </c>
      <c r="D187" s="1" t="s">
        <v>589</v>
      </c>
      <c r="E187" t="s">
        <v>264</v>
      </c>
      <c r="F187">
        <v>221</v>
      </c>
      <c r="G187">
        <v>56</v>
      </c>
      <c r="H187">
        <v>277</v>
      </c>
      <c r="I187" s="6">
        <v>12362</v>
      </c>
      <c r="J187">
        <v>0</v>
      </c>
      <c r="K187">
        <v>0</v>
      </c>
      <c r="L187" s="6">
        <v>12639</v>
      </c>
      <c r="M187" s="6">
        <v>12583</v>
      </c>
      <c r="N187">
        <v>56</v>
      </c>
    </row>
    <row r="188" spans="1:14" x14ac:dyDescent="0.25">
      <c r="A188">
        <v>2026</v>
      </c>
      <c r="B188" s="1" t="s">
        <v>20</v>
      </c>
      <c r="C188" s="1" t="s">
        <v>55</v>
      </c>
      <c r="D188" s="1" t="s">
        <v>590</v>
      </c>
      <c r="E188" t="s">
        <v>265</v>
      </c>
      <c r="F188">
        <v>138</v>
      </c>
      <c r="G188">
        <v>37</v>
      </c>
      <c r="H188">
        <v>175</v>
      </c>
      <c r="I188" s="6">
        <v>9275</v>
      </c>
      <c r="J188">
        <v>0</v>
      </c>
      <c r="K188">
        <v>0</v>
      </c>
      <c r="L188" s="6">
        <v>9450</v>
      </c>
      <c r="M188" s="6">
        <v>9413</v>
      </c>
      <c r="N188">
        <v>37</v>
      </c>
    </row>
    <row r="189" spans="1:14" x14ac:dyDescent="0.25">
      <c r="A189">
        <v>2026</v>
      </c>
      <c r="B189" s="1" t="s">
        <v>21</v>
      </c>
      <c r="C189" s="1" t="s">
        <v>56</v>
      </c>
      <c r="D189" s="1" t="s">
        <v>591</v>
      </c>
      <c r="E189" t="s">
        <v>266</v>
      </c>
      <c r="F189">
        <v>138</v>
      </c>
      <c r="G189">
        <v>35</v>
      </c>
      <c r="H189">
        <v>173</v>
      </c>
      <c r="I189" s="6">
        <v>7664</v>
      </c>
      <c r="J189">
        <v>0</v>
      </c>
      <c r="K189">
        <v>0</v>
      </c>
      <c r="L189" s="6">
        <v>7837</v>
      </c>
      <c r="M189" s="6">
        <v>7802</v>
      </c>
      <c r="N189">
        <v>35</v>
      </c>
    </row>
    <row r="190" spans="1:14" x14ac:dyDescent="0.25">
      <c r="A190">
        <v>2026</v>
      </c>
      <c r="B190" s="1" t="s">
        <v>21</v>
      </c>
      <c r="C190" s="1" t="s">
        <v>56</v>
      </c>
      <c r="D190" s="1" t="s">
        <v>592</v>
      </c>
      <c r="E190" t="s">
        <v>267</v>
      </c>
      <c r="F190">
        <v>141</v>
      </c>
      <c r="G190">
        <v>36</v>
      </c>
      <c r="H190">
        <v>177</v>
      </c>
      <c r="I190" s="6">
        <v>7813</v>
      </c>
      <c r="J190">
        <v>0</v>
      </c>
      <c r="K190">
        <v>0</v>
      </c>
      <c r="L190" s="6">
        <v>7990</v>
      </c>
      <c r="M190" s="6">
        <v>7954</v>
      </c>
      <c r="N190">
        <v>36</v>
      </c>
    </row>
    <row r="191" spans="1:14" x14ac:dyDescent="0.25">
      <c r="A191">
        <v>2026</v>
      </c>
      <c r="B191" s="1" t="s">
        <v>20</v>
      </c>
      <c r="C191" s="1" t="s">
        <v>55</v>
      </c>
      <c r="D191" s="1" t="s">
        <v>593</v>
      </c>
      <c r="E191" t="s">
        <v>268</v>
      </c>
      <c r="F191">
        <v>386</v>
      </c>
      <c r="G191">
        <v>103</v>
      </c>
      <c r="H191">
        <v>489</v>
      </c>
      <c r="I191" s="6">
        <v>24536</v>
      </c>
      <c r="J191">
        <v>0</v>
      </c>
      <c r="K191">
        <v>0</v>
      </c>
      <c r="L191" s="6">
        <v>25025</v>
      </c>
      <c r="M191" s="6">
        <v>24922</v>
      </c>
      <c r="N191">
        <v>103</v>
      </c>
    </row>
    <row r="192" spans="1:14" x14ac:dyDescent="0.25">
      <c r="A192">
        <v>2026</v>
      </c>
      <c r="B192" s="1" t="s">
        <v>21</v>
      </c>
      <c r="C192" s="1" t="s">
        <v>56</v>
      </c>
      <c r="D192" s="1" t="s">
        <v>594</v>
      </c>
      <c r="E192" t="s">
        <v>269</v>
      </c>
      <c r="F192" s="6">
        <v>1259</v>
      </c>
      <c r="G192">
        <v>321</v>
      </c>
      <c r="H192" s="6">
        <v>1580</v>
      </c>
      <c r="I192" s="6">
        <v>69555</v>
      </c>
      <c r="J192">
        <v>455</v>
      </c>
      <c r="K192">
        <v>500</v>
      </c>
      <c r="L192" s="6">
        <v>72090</v>
      </c>
      <c r="M192" s="6">
        <v>70814</v>
      </c>
      <c r="N192" s="6">
        <v>1276</v>
      </c>
    </row>
    <row r="193" spans="1:14" x14ac:dyDescent="0.25">
      <c r="A193">
        <v>2026</v>
      </c>
      <c r="B193" s="1" t="s">
        <v>17</v>
      </c>
      <c r="C193" s="1" t="s">
        <v>52</v>
      </c>
      <c r="D193" s="1" t="s">
        <v>595</v>
      </c>
      <c r="E193" t="s">
        <v>270</v>
      </c>
      <c r="F193">
        <v>359</v>
      </c>
      <c r="G193">
        <v>94</v>
      </c>
      <c r="H193">
        <v>453</v>
      </c>
      <c r="I193" s="6">
        <v>38628</v>
      </c>
      <c r="J193" s="6">
        <v>2014</v>
      </c>
      <c r="K193" s="6">
        <v>2215</v>
      </c>
      <c r="L193" s="6">
        <v>43310</v>
      </c>
      <c r="M193" s="6">
        <v>38987</v>
      </c>
      <c r="N193" s="6">
        <v>4323</v>
      </c>
    </row>
    <row r="194" spans="1:14" x14ac:dyDescent="0.25">
      <c r="A194">
        <v>2026</v>
      </c>
      <c r="B194" s="1" t="s">
        <v>20</v>
      </c>
      <c r="C194" s="1" t="s">
        <v>55</v>
      </c>
      <c r="D194" s="1" t="s">
        <v>596</v>
      </c>
      <c r="E194" t="s">
        <v>271</v>
      </c>
      <c r="F194">
        <v>144</v>
      </c>
      <c r="G194">
        <v>38</v>
      </c>
      <c r="H194">
        <v>182</v>
      </c>
      <c r="I194" s="6">
        <v>9088</v>
      </c>
      <c r="J194">
        <v>65</v>
      </c>
      <c r="K194">
        <v>72</v>
      </c>
      <c r="L194" s="6">
        <v>9407</v>
      </c>
      <c r="M194" s="6">
        <v>9232</v>
      </c>
      <c r="N194">
        <v>175</v>
      </c>
    </row>
    <row r="195" spans="1:14" x14ac:dyDescent="0.25">
      <c r="A195">
        <v>2026</v>
      </c>
      <c r="B195" s="63" t="s">
        <v>16</v>
      </c>
      <c r="C195" s="1" t="s">
        <v>51</v>
      </c>
      <c r="D195" s="1" t="s">
        <v>597</v>
      </c>
      <c r="E195" t="s">
        <v>272</v>
      </c>
      <c r="F195" s="6">
        <v>2357</v>
      </c>
      <c r="G195">
        <v>633</v>
      </c>
      <c r="H195" s="6">
        <v>2990</v>
      </c>
      <c r="I195" s="6">
        <v>162629</v>
      </c>
      <c r="J195" s="6">
        <v>16978</v>
      </c>
      <c r="K195" s="6">
        <v>18565</v>
      </c>
      <c r="L195" s="6">
        <v>201162</v>
      </c>
      <c r="M195" s="6">
        <v>164986</v>
      </c>
      <c r="N195" s="6">
        <v>36176</v>
      </c>
    </row>
    <row r="196" spans="1:14" x14ac:dyDescent="0.25">
      <c r="A196">
        <v>2026</v>
      </c>
      <c r="B196" s="63" t="s">
        <v>15</v>
      </c>
      <c r="C196" s="1" t="s">
        <v>50</v>
      </c>
      <c r="D196" s="1" t="s">
        <v>598</v>
      </c>
      <c r="E196" t="s">
        <v>273</v>
      </c>
      <c r="F196">
        <v>215</v>
      </c>
      <c r="G196">
        <v>60</v>
      </c>
      <c r="H196">
        <v>275</v>
      </c>
      <c r="I196" s="6">
        <v>28229</v>
      </c>
      <c r="J196">
        <v>914</v>
      </c>
      <c r="K196" s="6">
        <v>1019</v>
      </c>
      <c r="L196" s="6">
        <v>30437</v>
      </c>
      <c r="M196" s="6">
        <v>28444</v>
      </c>
      <c r="N196" s="6">
        <v>1993</v>
      </c>
    </row>
    <row r="197" spans="1:14" x14ac:dyDescent="0.25">
      <c r="A197">
        <v>2026</v>
      </c>
      <c r="B197" s="1" t="s">
        <v>18</v>
      </c>
      <c r="C197" s="1" t="s">
        <v>53</v>
      </c>
      <c r="D197" s="1" t="s">
        <v>599</v>
      </c>
      <c r="E197" t="s">
        <v>274</v>
      </c>
      <c r="F197">
        <v>0</v>
      </c>
      <c r="G197">
        <v>0</v>
      </c>
      <c r="H197">
        <v>0</v>
      </c>
      <c r="I197" s="6">
        <v>46226</v>
      </c>
      <c r="J197">
        <v>584</v>
      </c>
      <c r="K197">
        <v>642</v>
      </c>
      <c r="L197" s="6">
        <v>47452</v>
      </c>
      <c r="M197" s="6">
        <v>46226</v>
      </c>
      <c r="N197" s="6">
        <v>1226</v>
      </c>
    </row>
    <row r="198" spans="1:14" x14ac:dyDescent="0.25">
      <c r="A198">
        <v>2026</v>
      </c>
      <c r="B198" s="63" t="s">
        <v>13</v>
      </c>
      <c r="C198" s="1" t="s">
        <v>48</v>
      </c>
      <c r="D198" s="1" t="s">
        <v>600</v>
      </c>
      <c r="E198" t="s">
        <v>275</v>
      </c>
      <c r="F198">
        <v>781</v>
      </c>
      <c r="G198">
        <v>247</v>
      </c>
      <c r="H198" s="6">
        <v>1028</v>
      </c>
      <c r="I198" s="6">
        <v>39427</v>
      </c>
      <c r="J198" s="6">
        <v>4633</v>
      </c>
      <c r="K198" s="6">
        <v>5161</v>
      </c>
      <c r="L198" s="6">
        <v>50249</v>
      </c>
      <c r="M198" s="6">
        <v>40208</v>
      </c>
      <c r="N198" s="6">
        <v>10041</v>
      </c>
    </row>
    <row r="199" spans="1:14" x14ac:dyDescent="0.25">
      <c r="A199">
        <v>2026</v>
      </c>
      <c r="B199" s="1" t="s">
        <v>21</v>
      </c>
      <c r="C199" s="1" t="s">
        <v>56</v>
      </c>
      <c r="D199" s="1" t="s">
        <v>601</v>
      </c>
      <c r="E199" t="s">
        <v>276</v>
      </c>
      <c r="F199">
        <v>386</v>
      </c>
      <c r="G199">
        <v>99</v>
      </c>
      <c r="H199">
        <v>485</v>
      </c>
      <c r="I199" s="6">
        <v>21362</v>
      </c>
      <c r="J199">
        <v>715</v>
      </c>
      <c r="K199">
        <v>786</v>
      </c>
      <c r="L199" s="6">
        <v>23348</v>
      </c>
      <c r="M199" s="6">
        <v>21748</v>
      </c>
      <c r="N199" s="6">
        <v>1600</v>
      </c>
    </row>
    <row r="200" spans="1:14" x14ac:dyDescent="0.25">
      <c r="A200">
        <v>2026</v>
      </c>
      <c r="B200" s="63" t="s">
        <v>14</v>
      </c>
      <c r="C200" s="1" t="s">
        <v>49</v>
      </c>
      <c r="D200" s="1" t="s">
        <v>602</v>
      </c>
      <c r="E200" t="s">
        <v>277</v>
      </c>
      <c r="F200">
        <v>0</v>
      </c>
      <c r="G200">
        <v>0</v>
      </c>
      <c r="H200">
        <v>0</v>
      </c>
      <c r="I200" s="6">
        <v>19647</v>
      </c>
      <c r="J200" s="6">
        <v>1045</v>
      </c>
      <c r="K200" s="6">
        <v>1171</v>
      </c>
      <c r="L200" s="6">
        <v>21863</v>
      </c>
      <c r="M200" s="6">
        <v>19647</v>
      </c>
      <c r="N200" s="6">
        <v>2216</v>
      </c>
    </row>
    <row r="201" spans="1:14" x14ac:dyDescent="0.25">
      <c r="A201">
        <v>2026</v>
      </c>
      <c r="B201" s="1" t="s">
        <v>18</v>
      </c>
      <c r="C201" s="1" t="s">
        <v>53</v>
      </c>
      <c r="D201" s="1" t="s">
        <v>603</v>
      </c>
      <c r="E201" t="s">
        <v>278</v>
      </c>
      <c r="F201">
        <v>0</v>
      </c>
      <c r="G201">
        <v>0</v>
      </c>
      <c r="H201">
        <v>0</v>
      </c>
      <c r="I201" s="6">
        <v>98716</v>
      </c>
      <c r="J201" s="6">
        <v>7459</v>
      </c>
      <c r="K201" s="6">
        <v>8197</v>
      </c>
      <c r="L201" s="6">
        <v>114372</v>
      </c>
      <c r="M201" s="6">
        <v>98716</v>
      </c>
      <c r="N201" s="6">
        <v>15656</v>
      </c>
    </row>
    <row r="202" spans="1:14" x14ac:dyDescent="0.25">
      <c r="A202">
        <v>2026</v>
      </c>
      <c r="B202" s="1" t="s">
        <v>20</v>
      </c>
      <c r="C202" s="1" t="s">
        <v>55</v>
      </c>
      <c r="D202" s="1" t="s">
        <v>604</v>
      </c>
      <c r="E202" t="s">
        <v>279</v>
      </c>
      <c r="F202">
        <v>411</v>
      </c>
      <c r="G202">
        <v>109</v>
      </c>
      <c r="H202">
        <v>520</v>
      </c>
      <c r="I202" s="6">
        <v>26589</v>
      </c>
      <c r="J202">
        <v>715</v>
      </c>
      <c r="K202">
        <v>790</v>
      </c>
      <c r="L202" s="6">
        <v>28614</v>
      </c>
      <c r="M202" s="6">
        <v>27000</v>
      </c>
      <c r="N202" s="6">
        <v>1614</v>
      </c>
    </row>
    <row r="203" spans="1:14" x14ac:dyDescent="0.25">
      <c r="A203">
        <v>2026</v>
      </c>
      <c r="B203" s="63" t="s">
        <v>15</v>
      </c>
      <c r="C203" s="1" t="s">
        <v>50</v>
      </c>
      <c r="D203" s="63" t="s">
        <v>605</v>
      </c>
      <c r="E203" t="s">
        <v>280</v>
      </c>
      <c r="F203">
        <v>204</v>
      </c>
      <c r="G203">
        <v>57</v>
      </c>
      <c r="H203">
        <v>261</v>
      </c>
      <c r="I203" s="6">
        <v>26333</v>
      </c>
      <c r="J203">
        <v>326</v>
      </c>
      <c r="K203">
        <v>364</v>
      </c>
      <c r="L203" s="6">
        <v>27284</v>
      </c>
      <c r="M203" s="6">
        <v>26537</v>
      </c>
      <c r="N203">
        <v>747</v>
      </c>
    </row>
    <row r="204" spans="1:14" x14ac:dyDescent="0.25">
      <c r="A204">
        <v>2026</v>
      </c>
      <c r="B204" s="1" t="s">
        <v>17</v>
      </c>
      <c r="C204" s="1" t="s">
        <v>52</v>
      </c>
      <c r="D204" s="1" t="s">
        <v>606</v>
      </c>
      <c r="E204" t="s">
        <v>281</v>
      </c>
      <c r="F204">
        <v>251</v>
      </c>
      <c r="G204">
        <v>66</v>
      </c>
      <c r="H204">
        <v>317</v>
      </c>
      <c r="I204" s="6">
        <v>26999</v>
      </c>
      <c r="J204">
        <v>195</v>
      </c>
      <c r="K204">
        <v>214</v>
      </c>
      <c r="L204" s="6">
        <v>27725</v>
      </c>
      <c r="M204" s="6">
        <v>27250</v>
      </c>
      <c r="N204">
        <v>475</v>
      </c>
    </row>
    <row r="205" spans="1:14" x14ac:dyDescent="0.25">
      <c r="A205">
        <v>2026</v>
      </c>
      <c r="B205" s="63" t="s">
        <v>13</v>
      </c>
      <c r="C205" s="1" t="s">
        <v>48</v>
      </c>
      <c r="D205" s="1" t="s">
        <v>607</v>
      </c>
      <c r="E205" t="s">
        <v>282</v>
      </c>
      <c r="F205">
        <v>947</v>
      </c>
      <c r="G205">
        <v>299</v>
      </c>
      <c r="H205" s="6">
        <v>1246</v>
      </c>
      <c r="I205" s="6">
        <v>47631</v>
      </c>
      <c r="J205">
        <v>131</v>
      </c>
      <c r="K205">
        <v>145</v>
      </c>
      <c r="L205" s="6">
        <v>49153</v>
      </c>
      <c r="M205" s="6">
        <v>48578</v>
      </c>
      <c r="N205">
        <v>575</v>
      </c>
    </row>
    <row r="206" spans="1:14" x14ac:dyDescent="0.25">
      <c r="A206">
        <v>2026</v>
      </c>
      <c r="B206" s="63" t="s">
        <v>15</v>
      </c>
      <c r="C206" s="1" t="s">
        <v>50</v>
      </c>
      <c r="D206" s="63" t="s">
        <v>608</v>
      </c>
      <c r="E206" t="s">
        <v>283</v>
      </c>
      <c r="F206">
        <v>177</v>
      </c>
      <c r="G206">
        <v>49</v>
      </c>
      <c r="H206">
        <v>226</v>
      </c>
      <c r="I206" s="6">
        <v>23277</v>
      </c>
      <c r="J206">
        <v>0</v>
      </c>
      <c r="K206">
        <v>0</v>
      </c>
      <c r="L206" s="6">
        <v>23503</v>
      </c>
      <c r="M206" s="6">
        <v>23454</v>
      </c>
      <c r="N206">
        <v>49</v>
      </c>
    </row>
    <row r="207" spans="1:14" x14ac:dyDescent="0.25">
      <c r="A207">
        <v>2026</v>
      </c>
      <c r="B207" s="63" t="s">
        <v>14</v>
      </c>
      <c r="C207" s="1" t="s">
        <v>49</v>
      </c>
      <c r="D207" s="1" t="s">
        <v>609</v>
      </c>
      <c r="E207" t="s">
        <v>284</v>
      </c>
      <c r="F207">
        <v>0</v>
      </c>
      <c r="G207">
        <v>0</v>
      </c>
      <c r="H207">
        <v>0</v>
      </c>
      <c r="I207" s="6">
        <v>10774</v>
      </c>
      <c r="J207" s="6">
        <v>1634</v>
      </c>
      <c r="K207" s="6">
        <v>1829</v>
      </c>
      <c r="L207" s="6">
        <v>14237</v>
      </c>
      <c r="M207" s="6">
        <v>10774</v>
      </c>
      <c r="N207" s="6">
        <v>3463</v>
      </c>
    </row>
    <row r="208" spans="1:14" x14ac:dyDescent="0.25">
      <c r="A208">
        <v>2026</v>
      </c>
      <c r="B208" s="1" t="s">
        <v>17</v>
      </c>
      <c r="C208" s="1" t="s">
        <v>52</v>
      </c>
      <c r="D208" s="1" t="s">
        <v>610</v>
      </c>
      <c r="E208" t="s">
        <v>285</v>
      </c>
      <c r="F208">
        <v>185</v>
      </c>
      <c r="G208">
        <v>48</v>
      </c>
      <c r="H208">
        <v>233</v>
      </c>
      <c r="I208" s="6">
        <v>20027</v>
      </c>
      <c r="J208">
        <v>325</v>
      </c>
      <c r="K208">
        <v>357</v>
      </c>
      <c r="L208" s="6">
        <v>20942</v>
      </c>
      <c r="M208" s="6">
        <v>20212</v>
      </c>
      <c r="N208">
        <v>730</v>
      </c>
    </row>
    <row r="209" spans="1:14" x14ac:dyDescent="0.25">
      <c r="A209">
        <v>2026</v>
      </c>
      <c r="B209" s="1" t="s">
        <v>21</v>
      </c>
      <c r="C209" s="1" t="s">
        <v>56</v>
      </c>
      <c r="D209" s="1" t="s">
        <v>611</v>
      </c>
      <c r="E209" t="s">
        <v>286</v>
      </c>
      <c r="F209">
        <v>331</v>
      </c>
      <c r="G209">
        <v>85</v>
      </c>
      <c r="H209">
        <v>416</v>
      </c>
      <c r="I209" s="6">
        <v>18299</v>
      </c>
      <c r="J209" s="6">
        <v>2079</v>
      </c>
      <c r="K209" s="6">
        <v>2286</v>
      </c>
      <c r="L209" s="6">
        <v>23080</v>
      </c>
      <c r="M209" s="6">
        <v>18630</v>
      </c>
      <c r="N209" s="6">
        <v>4450</v>
      </c>
    </row>
    <row r="210" spans="1:14" x14ac:dyDescent="0.25">
      <c r="A210">
        <v>2026</v>
      </c>
      <c r="B210" s="1" t="s">
        <v>18</v>
      </c>
      <c r="C210" s="1" t="s">
        <v>53</v>
      </c>
      <c r="D210" s="1" t="s">
        <v>612</v>
      </c>
      <c r="E210" t="s">
        <v>287</v>
      </c>
      <c r="F210">
        <v>0</v>
      </c>
      <c r="G210">
        <v>0</v>
      </c>
      <c r="H210">
        <v>0</v>
      </c>
      <c r="I210" s="6">
        <v>69463</v>
      </c>
      <c r="J210" s="6">
        <v>3762</v>
      </c>
      <c r="K210" s="6">
        <v>4134</v>
      </c>
      <c r="L210" s="6">
        <v>77359</v>
      </c>
      <c r="M210" s="6">
        <v>69463</v>
      </c>
      <c r="N210" s="6">
        <v>7896</v>
      </c>
    </row>
    <row r="211" spans="1:14" x14ac:dyDescent="0.25">
      <c r="A211">
        <v>2026</v>
      </c>
      <c r="B211" s="63" t="s">
        <v>16</v>
      </c>
      <c r="C211" s="1" t="s">
        <v>51</v>
      </c>
      <c r="D211" s="1" t="s">
        <v>613</v>
      </c>
      <c r="E211" t="s">
        <v>288</v>
      </c>
      <c r="F211" s="6">
        <v>1526</v>
      </c>
      <c r="G211">
        <v>410</v>
      </c>
      <c r="H211" s="6">
        <v>1936</v>
      </c>
      <c r="I211" s="6">
        <v>105215</v>
      </c>
      <c r="J211" s="6">
        <v>4471</v>
      </c>
      <c r="K211" s="6">
        <v>4889</v>
      </c>
      <c r="L211" s="6">
        <v>116511</v>
      </c>
      <c r="M211" s="6">
        <v>106741</v>
      </c>
      <c r="N211" s="6">
        <v>9770</v>
      </c>
    </row>
    <row r="212" spans="1:14" x14ac:dyDescent="0.25">
      <c r="A212">
        <v>2026</v>
      </c>
      <c r="B212" s="63" t="s">
        <v>15</v>
      </c>
      <c r="C212" s="1" t="s">
        <v>50</v>
      </c>
      <c r="D212" s="1" t="s">
        <v>614</v>
      </c>
      <c r="E212" t="s">
        <v>289</v>
      </c>
      <c r="F212">
        <v>171</v>
      </c>
      <c r="G212">
        <v>48</v>
      </c>
      <c r="H212">
        <v>219</v>
      </c>
      <c r="I212" s="6">
        <v>21937</v>
      </c>
      <c r="J212">
        <v>131</v>
      </c>
      <c r="K212">
        <v>146</v>
      </c>
      <c r="L212" s="6">
        <v>22433</v>
      </c>
      <c r="M212" s="6">
        <v>22108</v>
      </c>
      <c r="N212">
        <v>325</v>
      </c>
    </row>
    <row r="213" spans="1:14" x14ac:dyDescent="0.25">
      <c r="A213">
        <v>2026</v>
      </c>
      <c r="B213" s="63" t="s">
        <v>14</v>
      </c>
      <c r="C213" s="1" t="s">
        <v>49</v>
      </c>
      <c r="D213" s="63" t="s">
        <v>615</v>
      </c>
      <c r="E213" t="s">
        <v>290</v>
      </c>
      <c r="F213">
        <v>0</v>
      </c>
      <c r="G213">
        <v>0</v>
      </c>
      <c r="H213">
        <v>0</v>
      </c>
      <c r="I213" s="6">
        <v>16658</v>
      </c>
      <c r="J213">
        <v>915</v>
      </c>
      <c r="K213" s="6">
        <v>1024</v>
      </c>
      <c r="L213" s="6">
        <v>18597</v>
      </c>
      <c r="M213" s="6">
        <v>16658</v>
      </c>
      <c r="N213" s="6">
        <v>1939</v>
      </c>
    </row>
    <row r="214" spans="1:14" x14ac:dyDescent="0.25">
      <c r="A214">
        <v>2026</v>
      </c>
      <c r="B214" s="63" t="s">
        <v>16</v>
      </c>
      <c r="C214" s="1" t="s">
        <v>51</v>
      </c>
      <c r="D214" s="1" t="s">
        <v>616</v>
      </c>
      <c r="E214" t="s">
        <v>291</v>
      </c>
      <c r="F214">
        <v>259</v>
      </c>
      <c r="G214">
        <v>70</v>
      </c>
      <c r="H214">
        <v>329</v>
      </c>
      <c r="I214" s="6">
        <v>17891</v>
      </c>
      <c r="J214">
        <v>389</v>
      </c>
      <c r="K214">
        <v>425</v>
      </c>
      <c r="L214" s="6">
        <v>19034</v>
      </c>
      <c r="M214" s="6">
        <v>18150</v>
      </c>
      <c r="N214">
        <v>884</v>
      </c>
    </row>
    <row r="215" spans="1:14" x14ac:dyDescent="0.25">
      <c r="A215">
        <v>2026</v>
      </c>
      <c r="B215" s="63" t="s">
        <v>15</v>
      </c>
      <c r="C215" s="1" t="s">
        <v>50</v>
      </c>
      <c r="D215" s="1" t="s">
        <v>617</v>
      </c>
      <c r="E215" t="s">
        <v>292</v>
      </c>
      <c r="F215">
        <v>185</v>
      </c>
      <c r="G215">
        <v>51</v>
      </c>
      <c r="H215">
        <v>236</v>
      </c>
      <c r="I215" s="6">
        <v>24770</v>
      </c>
      <c r="J215">
        <v>0</v>
      </c>
      <c r="K215">
        <v>0</v>
      </c>
      <c r="L215" s="6">
        <v>25006</v>
      </c>
      <c r="M215" s="6">
        <v>24955</v>
      </c>
      <c r="N215">
        <v>51</v>
      </c>
    </row>
    <row r="216" spans="1:14" x14ac:dyDescent="0.25">
      <c r="A216">
        <v>2026</v>
      </c>
      <c r="B216" s="1" t="s">
        <v>18</v>
      </c>
      <c r="C216" s="1" t="s">
        <v>53</v>
      </c>
      <c r="D216" s="1" t="s">
        <v>618</v>
      </c>
      <c r="E216" t="s">
        <v>293</v>
      </c>
      <c r="F216">
        <v>0</v>
      </c>
      <c r="G216">
        <v>0</v>
      </c>
      <c r="H216">
        <v>0</v>
      </c>
      <c r="I216" s="6">
        <v>112454</v>
      </c>
      <c r="J216" s="6">
        <v>10442</v>
      </c>
      <c r="K216" s="6">
        <v>11476</v>
      </c>
      <c r="L216" s="6">
        <v>134372</v>
      </c>
      <c r="M216" s="6">
        <v>112454</v>
      </c>
      <c r="N216" s="6">
        <v>21918</v>
      </c>
    </row>
    <row r="217" spans="1:14" x14ac:dyDescent="0.25">
      <c r="A217">
        <v>2026</v>
      </c>
      <c r="B217" s="1" t="s">
        <v>19</v>
      </c>
      <c r="C217" s="1" t="s">
        <v>54</v>
      </c>
      <c r="D217" s="1" t="s">
        <v>619</v>
      </c>
      <c r="E217" t="s">
        <v>294</v>
      </c>
      <c r="F217">
        <v>541</v>
      </c>
      <c r="G217">
        <v>156</v>
      </c>
      <c r="H217">
        <v>697</v>
      </c>
      <c r="I217" s="6">
        <v>37449</v>
      </c>
      <c r="J217" s="6">
        <v>1501</v>
      </c>
      <c r="K217" s="6">
        <v>1680</v>
      </c>
      <c r="L217" s="6">
        <v>41327</v>
      </c>
      <c r="M217" s="6">
        <v>37990</v>
      </c>
      <c r="N217" s="6">
        <v>3337</v>
      </c>
    </row>
    <row r="218" spans="1:14" x14ac:dyDescent="0.25">
      <c r="A218">
        <v>2026</v>
      </c>
      <c r="B218" s="63" t="s">
        <v>13</v>
      </c>
      <c r="C218" s="1" t="s">
        <v>48</v>
      </c>
      <c r="D218" s="1" t="s">
        <v>620</v>
      </c>
      <c r="E218" t="s">
        <v>295</v>
      </c>
      <c r="F218" s="6">
        <v>1087</v>
      </c>
      <c r="G218">
        <v>344</v>
      </c>
      <c r="H218" s="6">
        <v>1431</v>
      </c>
      <c r="I218" s="6">
        <v>56088</v>
      </c>
      <c r="J218">
        <v>718</v>
      </c>
      <c r="K218">
        <v>800</v>
      </c>
      <c r="L218" s="6">
        <v>59037</v>
      </c>
      <c r="M218" s="6">
        <v>57175</v>
      </c>
      <c r="N218" s="6">
        <v>1862</v>
      </c>
    </row>
    <row r="219" spans="1:14" x14ac:dyDescent="0.25">
      <c r="A219">
        <v>2026</v>
      </c>
      <c r="B219" s="1" t="s">
        <v>18</v>
      </c>
      <c r="C219" s="1" t="s">
        <v>53</v>
      </c>
      <c r="D219" s="1" t="s">
        <v>621</v>
      </c>
      <c r="E219" t="s">
        <v>296</v>
      </c>
      <c r="F219">
        <v>0</v>
      </c>
      <c r="G219">
        <v>0</v>
      </c>
      <c r="H219">
        <v>0</v>
      </c>
      <c r="I219" s="6">
        <v>18020</v>
      </c>
      <c r="J219" s="6">
        <v>1232</v>
      </c>
      <c r="K219" s="6">
        <v>1354</v>
      </c>
      <c r="L219" s="6">
        <v>20606</v>
      </c>
      <c r="M219" s="6">
        <v>18020</v>
      </c>
      <c r="N219" s="6">
        <v>2586</v>
      </c>
    </row>
    <row r="220" spans="1:14" x14ac:dyDescent="0.25">
      <c r="A220">
        <v>2026</v>
      </c>
      <c r="B220" s="63" t="s">
        <v>14</v>
      </c>
      <c r="C220" s="1" t="s">
        <v>49</v>
      </c>
      <c r="D220" s="1" t="s">
        <v>622</v>
      </c>
      <c r="E220" t="s">
        <v>297</v>
      </c>
      <c r="F220">
        <v>0</v>
      </c>
      <c r="G220">
        <v>0</v>
      </c>
      <c r="H220">
        <v>0</v>
      </c>
      <c r="I220" s="6">
        <v>43600</v>
      </c>
      <c r="J220">
        <v>849</v>
      </c>
      <c r="K220">
        <v>951</v>
      </c>
      <c r="L220" s="6">
        <v>45400</v>
      </c>
      <c r="M220" s="6">
        <v>43600</v>
      </c>
      <c r="N220" s="6">
        <v>1800</v>
      </c>
    </row>
    <row r="221" spans="1:14" x14ac:dyDescent="0.25">
      <c r="A221">
        <v>2026</v>
      </c>
      <c r="B221" s="1" t="s">
        <v>17</v>
      </c>
      <c r="C221" s="1" t="s">
        <v>52</v>
      </c>
      <c r="D221" s="1" t="s">
        <v>623</v>
      </c>
      <c r="E221" t="s">
        <v>298</v>
      </c>
      <c r="F221">
        <v>69</v>
      </c>
      <c r="G221">
        <v>18</v>
      </c>
      <c r="H221">
        <v>87</v>
      </c>
      <c r="I221" s="6">
        <v>7370</v>
      </c>
      <c r="J221">
        <v>325</v>
      </c>
      <c r="K221">
        <v>357</v>
      </c>
      <c r="L221" s="6">
        <v>8139</v>
      </c>
      <c r="M221" s="6">
        <v>7439</v>
      </c>
      <c r="N221">
        <v>700</v>
      </c>
    </row>
    <row r="222" spans="1:14" x14ac:dyDescent="0.25">
      <c r="A222">
        <v>2026</v>
      </c>
      <c r="B222" s="1" t="s">
        <v>20</v>
      </c>
      <c r="C222" s="1" t="s">
        <v>55</v>
      </c>
      <c r="D222" s="1" t="s">
        <v>624</v>
      </c>
      <c r="E222" t="s">
        <v>299</v>
      </c>
      <c r="F222">
        <v>97</v>
      </c>
      <c r="G222">
        <v>25</v>
      </c>
      <c r="H222">
        <v>122</v>
      </c>
      <c r="I222" s="6">
        <v>6714</v>
      </c>
      <c r="J222">
        <v>455</v>
      </c>
      <c r="K222">
        <v>503</v>
      </c>
      <c r="L222" s="6">
        <v>7794</v>
      </c>
      <c r="M222" s="6">
        <v>6811</v>
      </c>
      <c r="N222">
        <v>983</v>
      </c>
    </row>
    <row r="223" spans="1:14" x14ac:dyDescent="0.25">
      <c r="A223">
        <v>2026</v>
      </c>
      <c r="B223" s="63" t="s">
        <v>15</v>
      </c>
      <c r="C223" s="1" t="s">
        <v>50</v>
      </c>
      <c r="D223" s="1" t="s">
        <v>625</v>
      </c>
      <c r="E223" t="s">
        <v>300</v>
      </c>
      <c r="F223">
        <v>323</v>
      </c>
      <c r="G223">
        <v>89</v>
      </c>
      <c r="H223">
        <v>412</v>
      </c>
      <c r="I223" s="6">
        <v>41789</v>
      </c>
      <c r="J223">
        <v>522</v>
      </c>
      <c r="K223">
        <v>582</v>
      </c>
      <c r="L223" s="6">
        <v>43305</v>
      </c>
      <c r="M223" s="6">
        <v>42112</v>
      </c>
      <c r="N223" s="6">
        <v>1193</v>
      </c>
    </row>
    <row r="224" spans="1:14" x14ac:dyDescent="0.25">
      <c r="A224">
        <v>2026</v>
      </c>
      <c r="B224" s="1" t="s">
        <v>21</v>
      </c>
      <c r="C224" s="1" t="s">
        <v>56</v>
      </c>
      <c r="D224" s="1" t="s">
        <v>626</v>
      </c>
      <c r="E224" t="s">
        <v>301</v>
      </c>
      <c r="F224" s="6">
        <v>1543</v>
      </c>
      <c r="G224">
        <v>394</v>
      </c>
      <c r="H224" s="6">
        <v>1937</v>
      </c>
      <c r="I224" s="6">
        <v>85385</v>
      </c>
      <c r="J224" s="6">
        <v>12537</v>
      </c>
      <c r="K224" s="6">
        <v>13786</v>
      </c>
      <c r="L224" s="6">
        <v>113645</v>
      </c>
      <c r="M224" s="6">
        <v>86928</v>
      </c>
      <c r="N224" s="6">
        <v>26717</v>
      </c>
    </row>
    <row r="225" spans="1:14" x14ac:dyDescent="0.25">
      <c r="A225">
        <v>2026</v>
      </c>
      <c r="B225" s="1" t="s">
        <v>21</v>
      </c>
      <c r="C225" s="1" t="s">
        <v>56</v>
      </c>
      <c r="D225" s="1" t="s">
        <v>627</v>
      </c>
      <c r="E225" t="s">
        <v>302</v>
      </c>
      <c r="F225" s="6">
        <v>3690</v>
      </c>
      <c r="G225">
        <v>942</v>
      </c>
      <c r="H225" s="6">
        <v>4632</v>
      </c>
      <c r="I225" s="6">
        <v>204004</v>
      </c>
      <c r="J225" s="6">
        <v>11043</v>
      </c>
      <c r="K225" s="6">
        <v>12143</v>
      </c>
      <c r="L225" s="6">
        <v>231822</v>
      </c>
      <c r="M225" s="6">
        <v>207694</v>
      </c>
      <c r="N225" s="6">
        <v>24128</v>
      </c>
    </row>
    <row r="226" spans="1:14" x14ac:dyDescent="0.25">
      <c r="A226">
        <v>2026</v>
      </c>
      <c r="B226" s="1" t="s">
        <v>18</v>
      </c>
      <c r="C226" s="1" t="s">
        <v>53</v>
      </c>
      <c r="D226" s="1" t="s">
        <v>628</v>
      </c>
      <c r="E226" t="s">
        <v>303</v>
      </c>
      <c r="F226">
        <v>0</v>
      </c>
      <c r="G226">
        <v>0</v>
      </c>
      <c r="H226">
        <v>0</v>
      </c>
      <c r="I226" s="6">
        <v>21735</v>
      </c>
      <c r="J226">
        <v>130</v>
      </c>
      <c r="K226">
        <v>143</v>
      </c>
      <c r="L226" s="6">
        <v>22008</v>
      </c>
      <c r="M226" s="6">
        <v>21735</v>
      </c>
      <c r="N226">
        <v>273</v>
      </c>
    </row>
    <row r="227" spans="1:14" x14ac:dyDescent="0.25">
      <c r="A227">
        <v>2026</v>
      </c>
      <c r="B227" s="63" t="s">
        <v>14</v>
      </c>
      <c r="C227" s="1" t="s">
        <v>49</v>
      </c>
      <c r="D227" s="1" t="s">
        <v>629</v>
      </c>
      <c r="E227" t="s">
        <v>304</v>
      </c>
      <c r="F227">
        <v>0</v>
      </c>
      <c r="G227">
        <v>0</v>
      </c>
      <c r="H227">
        <v>0</v>
      </c>
      <c r="I227" s="6">
        <v>7700</v>
      </c>
      <c r="J227">
        <v>327</v>
      </c>
      <c r="K227">
        <v>366</v>
      </c>
      <c r="L227" s="6">
        <v>8393</v>
      </c>
      <c r="M227" s="6">
        <v>7700</v>
      </c>
      <c r="N227">
        <v>693</v>
      </c>
    </row>
    <row r="228" spans="1:14" x14ac:dyDescent="0.25">
      <c r="A228">
        <v>2026</v>
      </c>
      <c r="B228" s="1" t="s">
        <v>18</v>
      </c>
      <c r="C228" s="1" t="s">
        <v>53</v>
      </c>
      <c r="D228" s="1" t="s">
        <v>630</v>
      </c>
      <c r="E228" t="s">
        <v>305</v>
      </c>
      <c r="F228">
        <v>0</v>
      </c>
      <c r="G228">
        <v>0</v>
      </c>
      <c r="H228">
        <v>0</v>
      </c>
      <c r="I228" s="6">
        <v>32085</v>
      </c>
      <c r="J228" s="6">
        <v>1427</v>
      </c>
      <c r="K228" s="6">
        <v>1568</v>
      </c>
      <c r="L228" s="6">
        <v>35080</v>
      </c>
      <c r="M228" s="6">
        <v>32085</v>
      </c>
      <c r="N228" s="6">
        <v>2995</v>
      </c>
    </row>
    <row r="229" spans="1:14" x14ac:dyDescent="0.25">
      <c r="A229">
        <v>2026</v>
      </c>
      <c r="B229" s="1" t="s">
        <v>21</v>
      </c>
      <c r="C229" s="1" t="s">
        <v>56</v>
      </c>
      <c r="D229" s="1" t="s">
        <v>631</v>
      </c>
      <c r="E229" t="s">
        <v>306</v>
      </c>
      <c r="F229">
        <v>373</v>
      </c>
      <c r="G229">
        <v>95</v>
      </c>
      <c r="H229">
        <v>468</v>
      </c>
      <c r="I229" s="6">
        <v>20563</v>
      </c>
      <c r="J229" s="6">
        <v>1169</v>
      </c>
      <c r="K229" s="6">
        <v>1286</v>
      </c>
      <c r="L229" s="6">
        <v>23486</v>
      </c>
      <c r="M229" s="6">
        <v>20936</v>
      </c>
      <c r="N229" s="6">
        <v>2550</v>
      </c>
    </row>
    <row r="230" spans="1:14" x14ac:dyDescent="0.25">
      <c r="A230">
        <v>2026</v>
      </c>
      <c r="B230" s="1" t="s">
        <v>18</v>
      </c>
      <c r="C230" s="1" t="s">
        <v>53</v>
      </c>
      <c r="D230" s="1" t="s">
        <v>632</v>
      </c>
      <c r="E230" t="s">
        <v>307</v>
      </c>
      <c r="F230">
        <v>0</v>
      </c>
      <c r="G230">
        <v>0</v>
      </c>
      <c r="H230">
        <v>0</v>
      </c>
      <c r="I230" s="6">
        <v>70343</v>
      </c>
      <c r="J230" s="6">
        <v>41381</v>
      </c>
      <c r="K230" s="6">
        <v>45477</v>
      </c>
      <c r="L230" s="6">
        <v>157201</v>
      </c>
      <c r="M230" s="6">
        <v>70343</v>
      </c>
      <c r="N230" s="6">
        <v>86858</v>
      </c>
    </row>
    <row r="231" spans="1:14" x14ac:dyDescent="0.25">
      <c r="A231">
        <v>2026</v>
      </c>
      <c r="B231" s="1" t="s">
        <v>18</v>
      </c>
      <c r="C231" s="1" t="s">
        <v>53</v>
      </c>
      <c r="D231" s="1" t="s">
        <v>633</v>
      </c>
      <c r="E231" t="s">
        <v>308</v>
      </c>
      <c r="F231">
        <v>0</v>
      </c>
      <c r="G231">
        <v>0</v>
      </c>
      <c r="H231">
        <v>0</v>
      </c>
      <c r="I231" s="6">
        <v>62802</v>
      </c>
      <c r="J231" s="6">
        <v>5967</v>
      </c>
      <c r="K231" s="6">
        <v>6558</v>
      </c>
      <c r="L231" s="6">
        <v>75327</v>
      </c>
      <c r="M231" s="6">
        <v>62802</v>
      </c>
      <c r="N231" s="6">
        <v>12525</v>
      </c>
    </row>
    <row r="232" spans="1:14" x14ac:dyDescent="0.25">
      <c r="A232">
        <v>2026</v>
      </c>
      <c r="B232" s="63" t="s">
        <v>16</v>
      </c>
      <c r="C232" s="1" t="s">
        <v>51</v>
      </c>
      <c r="D232" s="1" t="s">
        <v>634</v>
      </c>
      <c r="E232" t="s">
        <v>309</v>
      </c>
      <c r="F232" s="6">
        <v>2796</v>
      </c>
      <c r="G232">
        <v>750</v>
      </c>
      <c r="H232" s="6">
        <v>3546</v>
      </c>
      <c r="I232" s="6">
        <v>192965</v>
      </c>
      <c r="J232" s="6">
        <v>16200</v>
      </c>
      <c r="K232" s="6">
        <v>17715</v>
      </c>
      <c r="L232" s="6">
        <v>230426</v>
      </c>
      <c r="M232" s="6">
        <v>195761</v>
      </c>
      <c r="N232" s="6">
        <v>34665</v>
      </c>
    </row>
    <row r="233" spans="1:14" x14ac:dyDescent="0.25">
      <c r="A233">
        <v>2026</v>
      </c>
      <c r="B233" s="1" t="s">
        <v>18</v>
      </c>
      <c r="C233" s="1" t="s">
        <v>53</v>
      </c>
      <c r="D233" s="1" t="s">
        <v>635</v>
      </c>
      <c r="E233" t="s">
        <v>310</v>
      </c>
      <c r="F233">
        <v>0</v>
      </c>
      <c r="G233">
        <v>0</v>
      </c>
      <c r="H233">
        <v>0</v>
      </c>
      <c r="I233" s="6">
        <v>23232</v>
      </c>
      <c r="J233">
        <v>65</v>
      </c>
      <c r="K233">
        <v>71</v>
      </c>
      <c r="L233" s="6">
        <v>23368</v>
      </c>
      <c r="M233" s="6">
        <v>23232</v>
      </c>
      <c r="N233">
        <v>136</v>
      </c>
    </row>
    <row r="234" spans="1:14" x14ac:dyDescent="0.25">
      <c r="A234">
        <v>2026</v>
      </c>
      <c r="B234" s="63" t="s">
        <v>14</v>
      </c>
      <c r="C234" s="1" t="s">
        <v>49</v>
      </c>
      <c r="D234" s="1" t="s">
        <v>636</v>
      </c>
      <c r="E234" t="s">
        <v>311</v>
      </c>
      <c r="F234">
        <v>0</v>
      </c>
      <c r="G234">
        <v>0</v>
      </c>
      <c r="H234">
        <v>0</v>
      </c>
      <c r="I234" s="6">
        <v>28102</v>
      </c>
      <c r="J234" s="6">
        <v>5946</v>
      </c>
      <c r="K234" s="6">
        <v>6658</v>
      </c>
      <c r="L234" s="6">
        <v>40706</v>
      </c>
      <c r="M234" s="6">
        <v>28102</v>
      </c>
      <c r="N234" s="6">
        <v>12604</v>
      </c>
    </row>
    <row r="235" spans="1:14" x14ac:dyDescent="0.25">
      <c r="A235">
        <v>2026</v>
      </c>
      <c r="B235" s="63" t="s">
        <v>13</v>
      </c>
      <c r="C235" s="1" t="s">
        <v>48</v>
      </c>
      <c r="D235" s="1" t="s">
        <v>637</v>
      </c>
      <c r="E235" t="s">
        <v>312</v>
      </c>
      <c r="F235">
        <v>591</v>
      </c>
      <c r="G235">
        <v>187</v>
      </c>
      <c r="H235">
        <v>778</v>
      </c>
      <c r="I235" s="6">
        <v>30335</v>
      </c>
      <c r="J235">
        <v>392</v>
      </c>
      <c r="K235">
        <v>436</v>
      </c>
      <c r="L235" s="6">
        <v>31941</v>
      </c>
      <c r="M235" s="6">
        <v>30926</v>
      </c>
      <c r="N235" s="6">
        <v>1015</v>
      </c>
    </row>
    <row r="236" spans="1:14" x14ac:dyDescent="0.25">
      <c r="A236">
        <v>2026</v>
      </c>
      <c r="B236" s="1" t="s">
        <v>20</v>
      </c>
      <c r="C236" s="1" t="s">
        <v>55</v>
      </c>
      <c r="D236" s="1" t="s">
        <v>638</v>
      </c>
      <c r="E236" t="s">
        <v>313</v>
      </c>
      <c r="F236">
        <v>615</v>
      </c>
      <c r="G236">
        <v>164</v>
      </c>
      <c r="H236">
        <v>779</v>
      </c>
      <c r="I236" s="6">
        <v>41747</v>
      </c>
      <c r="J236">
        <v>0</v>
      </c>
      <c r="K236">
        <v>0</v>
      </c>
      <c r="L236" s="6">
        <v>42526</v>
      </c>
      <c r="M236" s="6">
        <v>42362</v>
      </c>
      <c r="N236">
        <v>164</v>
      </c>
    </row>
    <row r="237" spans="1:14" x14ac:dyDescent="0.25">
      <c r="A237">
        <v>2026</v>
      </c>
      <c r="B237" s="1" t="s">
        <v>19</v>
      </c>
      <c r="C237" s="1" t="s">
        <v>54</v>
      </c>
      <c r="D237" s="1" t="s">
        <v>639</v>
      </c>
      <c r="E237" t="s">
        <v>314</v>
      </c>
      <c r="F237">
        <v>210</v>
      </c>
      <c r="G237">
        <v>60</v>
      </c>
      <c r="H237">
        <v>270</v>
      </c>
      <c r="I237" s="6">
        <v>14500</v>
      </c>
      <c r="J237" s="6">
        <v>11814</v>
      </c>
      <c r="K237" s="6">
        <v>13224</v>
      </c>
      <c r="L237" s="6">
        <v>39808</v>
      </c>
      <c r="M237" s="6">
        <v>14710</v>
      </c>
      <c r="N237" s="6">
        <v>25098</v>
      </c>
    </row>
    <row r="238" spans="1:14" x14ac:dyDescent="0.25">
      <c r="A238">
        <v>2026</v>
      </c>
      <c r="B238" s="63" t="s">
        <v>13</v>
      </c>
      <c r="C238" s="1" t="s">
        <v>48</v>
      </c>
      <c r="D238" s="1" t="s">
        <v>640</v>
      </c>
      <c r="E238" t="s">
        <v>315</v>
      </c>
      <c r="F238">
        <v>287</v>
      </c>
      <c r="G238">
        <v>91</v>
      </c>
      <c r="H238">
        <v>378</v>
      </c>
      <c r="I238" s="6">
        <v>14382</v>
      </c>
      <c r="J238">
        <v>196</v>
      </c>
      <c r="K238">
        <v>218</v>
      </c>
      <c r="L238" s="6">
        <v>15174</v>
      </c>
      <c r="M238" s="6">
        <v>14669</v>
      </c>
      <c r="N238">
        <v>505</v>
      </c>
    </row>
    <row r="239" spans="1:14" x14ac:dyDescent="0.25">
      <c r="A239">
        <v>2026</v>
      </c>
      <c r="B239" s="1" t="s">
        <v>19</v>
      </c>
      <c r="C239" s="1" t="s">
        <v>54</v>
      </c>
      <c r="D239" s="1" t="s">
        <v>641</v>
      </c>
      <c r="E239" t="s">
        <v>316</v>
      </c>
      <c r="F239">
        <v>226</v>
      </c>
      <c r="G239">
        <v>66</v>
      </c>
      <c r="H239">
        <v>292</v>
      </c>
      <c r="I239" s="6">
        <v>15707</v>
      </c>
      <c r="J239">
        <v>0</v>
      </c>
      <c r="K239">
        <v>0</v>
      </c>
      <c r="L239" s="6">
        <v>15999</v>
      </c>
      <c r="M239" s="6">
        <v>15933</v>
      </c>
      <c r="N239">
        <v>66</v>
      </c>
    </row>
    <row r="240" spans="1:14" x14ac:dyDescent="0.25">
      <c r="A240">
        <v>2026</v>
      </c>
      <c r="B240" s="1" t="s">
        <v>20</v>
      </c>
      <c r="C240" s="1" t="s">
        <v>55</v>
      </c>
      <c r="D240" s="1" t="s">
        <v>642</v>
      </c>
      <c r="E240" t="s">
        <v>317</v>
      </c>
      <c r="F240">
        <v>475</v>
      </c>
      <c r="G240">
        <v>125</v>
      </c>
      <c r="H240">
        <v>600</v>
      </c>
      <c r="I240" s="6">
        <v>30270</v>
      </c>
      <c r="J240">
        <v>65</v>
      </c>
      <c r="K240">
        <v>72</v>
      </c>
      <c r="L240" s="6">
        <v>31007</v>
      </c>
      <c r="M240" s="6">
        <v>30745</v>
      </c>
      <c r="N240">
        <v>262</v>
      </c>
    </row>
    <row r="241" spans="1:14" x14ac:dyDescent="0.25">
      <c r="A241">
        <v>2026</v>
      </c>
      <c r="B241" s="1" t="s">
        <v>19</v>
      </c>
      <c r="C241" s="1" t="s">
        <v>54</v>
      </c>
      <c r="D241" s="1" t="s">
        <v>643</v>
      </c>
      <c r="E241" t="s">
        <v>318</v>
      </c>
      <c r="F241">
        <v>444</v>
      </c>
      <c r="G241">
        <v>129</v>
      </c>
      <c r="H241">
        <v>573</v>
      </c>
      <c r="I241" s="6">
        <v>31489</v>
      </c>
      <c r="J241" s="6">
        <v>28654</v>
      </c>
      <c r="K241" s="6">
        <v>32073</v>
      </c>
      <c r="L241" s="6">
        <v>92789</v>
      </c>
      <c r="M241" s="6">
        <v>31933</v>
      </c>
      <c r="N241" s="6">
        <v>60856</v>
      </c>
    </row>
    <row r="242" spans="1:14" x14ac:dyDescent="0.25">
      <c r="A242">
        <v>2026</v>
      </c>
      <c r="B242" s="1" t="s">
        <v>18</v>
      </c>
      <c r="C242" s="1" t="s">
        <v>53</v>
      </c>
      <c r="D242" s="1" t="s">
        <v>644</v>
      </c>
      <c r="E242" t="s">
        <v>319</v>
      </c>
      <c r="F242">
        <v>0</v>
      </c>
      <c r="G242">
        <v>0</v>
      </c>
      <c r="H242">
        <v>0</v>
      </c>
      <c r="I242" s="6">
        <v>32654</v>
      </c>
      <c r="J242">
        <v>519</v>
      </c>
      <c r="K242">
        <v>570</v>
      </c>
      <c r="L242" s="6">
        <v>33743</v>
      </c>
      <c r="M242" s="6">
        <v>32654</v>
      </c>
      <c r="N242" s="6">
        <v>1089</v>
      </c>
    </row>
    <row r="243" spans="1:14" x14ac:dyDescent="0.25">
      <c r="A243">
        <v>2026</v>
      </c>
      <c r="B243" s="63" t="s">
        <v>15</v>
      </c>
      <c r="C243" s="1" t="s">
        <v>50</v>
      </c>
      <c r="D243" s="1" t="s">
        <v>645</v>
      </c>
      <c r="E243" t="s">
        <v>320</v>
      </c>
      <c r="F243">
        <v>160</v>
      </c>
      <c r="G243">
        <v>44</v>
      </c>
      <c r="H243">
        <v>204</v>
      </c>
      <c r="I243" s="6">
        <v>20887</v>
      </c>
      <c r="J243">
        <v>588</v>
      </c>
      <c r="K243">
        <v>655</v>
      </c>
      <c r="L243" s="6">
        <v>22334</v>
      </c>
      <c r="M243" s="6">
        <v>21047</v>
      </c>
      <c r="N243" s="6">
        <v>1287</v>
      </c>
    </row>
    <row r="244" spans="1:14" x14ac:dyDescent="0.25">
      <c r="A244">
        <v>2026</v>
      </c>
      <c r="B244" s="63" t="s">
        <v>14</v>
      </c>
      <c r="C244" s="1" t="s">
        <v>49</v>
      </c>
      <c r="D244" s="1" t="s">
        <v>646</v>
      </c>
      <c r="E244" t="s">
        <v>321</v>
      </c>
      <c r="F244">
        <v>0</v>
      </c>
      <c r="G244">
        <v>0</v>
      </c>
      <c r="H244">
        <v>0</v>
      </c>
      <c r="I244" s="6">
        <v>8280</v>
      </c>
      <c r="J244">
        <v>653</v>
      </c>
      <c r="K244">
        <v>732</v>
      </c>
      <c r="L244" s="6">
        <v>9665</v>
      </c>
      <c r="M244" s="6">
        <v>8280</v>
      </c>
      <c r="N244" s="6">
        <v>1385</v>
      </c>
    </row>
    <row r="245" spans="1:14" x14ac:dyDescent="0.25">
      <c r="A245">
        <v>2026</v>
      </c>
      <c r="B245" s="1" t="s">
        <v>18</v>
      </c>
      <c r="C245" s="1" t="s">
        <v>53</v>
      </c>
      <c r="D245" s="1" t="s">
        <v>647</v>
      </c>
      <c r="E245" t="s">
        <v>322</v>
      </c>
      <c r="F245">
        <v>0</v>
      </c>
      <c r="G245">
        <v>0</v>
      </c>
      <c r="H245">
        <v>0</v>
      </c>
      <c r="I245" s="6">
        <v>33984</v>
      </c>
      <c r="J245" s="6">
        <v>4865</v>
      </c>
      <c r="K245" s="6">
        <v>5346</v>
      </c>
      <c r="L245" s="6">
        <v>44195</v>
      </c>
      <c r="M245" s="6">
        <v>33984</v>
      </c>
      <c r="N245" s="6">
        <v>10211</v>
      </c>
    </row>
    <row r="246" spans="1:14" x14ac:dyDescent="0.25">
      <c r="A246">
        <v>2026</v>
      </c>
      <c r="B246" s="63" t="s">
        <v>14</v>
      </c>
      <c r="C246" s="1" t="s">
        <v>49</v>
      </c>
      <c r="D246" s="1" t="s">
        <v>648</v>
      </c>
      <c r="E246" t="s">
        <v>323</v>
      </c>
      <c r="F246">
        <v>0</v>
      </c>
      <c r="G246">
        <v>0</v>
      </c>
      <c r="H246">
        <v>0</v>
      </c>
      <c r="I246" s="6">
        <v>15338</v>
      </c>
      <c r="J246" s="6">
        <v>1503</v>
      </c>
      <c r="K246" s="6">
        <v>1683</v>
      </c>
      <c r="L246" s="6">
        <v>18524</v>
      </c>
      <c r="M246" s="6">
        <v>15338</v>
      </c>
      <c r="N246" s="6">
        <v>3186</v>
      </c>
    </row>
    <row r="247" spans="1:14" x14ac:dyDescent="0.25">
      <c r="A247">
        <v>2026</v>
      </c>
      <c r="B247" s="1" t="s">
        <v>19</v>
      </c>
      <c r="C247" s="1" t="s">
        <v>54</v>
      </c>
      <c r="D247" s="1" t="s">
        <v>649</v>
      </c>
      <c r="E247" t="s">
        <v>324</v>
      </c>
      <c r="F247">
        <v>138</v>
      </c>
      <c r="G247">
        <v>40</v>
      </c>
      <c r="H247">
        <v>178</v>
      </c>
      <c r="I247" s="6">
        <v>9560</v>
      </c>
      <c r="J247">
        <v>65</v>
      </c>
      <c r="K247">
        <v>73</v>
      </c>
      <c r="L247" s="6">
        <v>9876</v>
      </c>
      <c r="M247" s="6">
        <v>9698</v>
      </c>
      <c r="N247">
        <v>178</v>
      </c>
    </row>
    <row r="248" spans="1:14" x14ac:dyDescent="0.25">
      <c r="A248">
        <v>2026</v>
      </c>
      <c r="B248" s="1" t="s">
        <v>19</v>
      </c>
      <c r="C248" s="1" t="s">
        <v>54</v>
      </c>
      <c r="D248" s="1" t="s">
        <v>650</v>
      </c>
      <c r="E248" t="s">
        <v>325</v>
      </c>
      <c r="F248">
        <v>836</v>
      </c>
      <c r="G248">
        <v>242</v>
      </c>
      <c r="H248" s="6">
        <v>1078</v>
      </c>
      <c r="I248" s="6">
        <v>57895</v>
      </c>
      <c r="J248" s="6">
        <v>3329</v>
      </c>
      <c r="K248" s="6">
        <v>3726</v>
      </c>
      <c r="L248" s="6">
        <v>66028</v>
      </c>
      <c r="M248" s="6">
        <v>58731</v>
      </c>
      <c r="N248" s="6">
        <v>7297</v>
      </c>
    </row>
    <row r="249" spans="1:14" x14ac:dyDescent="0.25">
      <c r="A249">
        <v>2026</v>
      </c>
      <c r="B249" s="1" t="s">
        <v>21</v>
      </c>
      <c r="C249" s="1" t="s">
        <v>56</v>
      </c>
      <c r="D249" s="1" t="s">
        <v>651</v>
      </c>
      <c r="E249" t="s">
        <v>326</v>
      </c>
      <c r="F249">
        <v>152</v>
      </c>
      <c r="G249">
        <v>39</v>
      </c>
      <c r="H249">
        <v>191</v>
      </c>
      <c r="I249" s="6">
        <v>8669</v>
      </c>
      <c r="J249">
        <v>0</v>
      </c>
      <c r="K249">
        <v>0</v>
      </c>
      <c r="L249" s="6">
        <v>8860</v>
      </c>
      <c r="M249" s="6">
        <v>8821</v>
      </c>
      <c r="N249">
        <v>39</v>
      </c>
    </row>
    <row r="250" spans="1:14" x14ac:dyDescent="0.25">
      <c r="A250">
        <v>2026</v>
      </c>
      <c r="B250" s="1" t="s">
        <v>19</v>
      </c>
      <c r="C250" s="1" t="s">
        <v>54</v>
      </c>
      <c r="D250" s="1" t="s">
        <v>652</v>
      </c>
      <c r="E250" t="s">
        <v>327</v>
      </c>
      <c r="F250">
        <v>671</v>
      </c>
      <c r="G250">
        <v>193</v>
      </c>
      <c r="H250">
        <v>864</v>
      </c>
      <c r="I250" s="6">
        <v>46571</v>
      </c>
      <c r="J250" s="6">
        <v>11292</v>
      </c>
      <c r="K250" s="6">
        <v>12639</v>
      </c>
      <c r="L250" s="6">
        <v>71366</v>
      </c>
      <c r="M250" s="6">
        <v>47242</v>
      </c>
      <c r="N250" s="6">
        <v>24124</v>
      </c>
    </row>
    <row r="251" spans="1:14" x14ac:dyDescent="0.25">
      <c r="A251">
        <v>2026</v>
      </c>
      <c r="B251" s="1" t="s">
        <v>20</v>
      </c>
      <c r="C251" s="1" t="s">
        <v>55</v>
      </c>
      <c r="D251" s="1" t="s">
        <v>653</v>
      </c>
      <c r="E251" t="s">
        <v>328</v>
      </c>
      <c r="F251">
        <v>684</v>
      </c>
      <c r="G251">
        <v>182</v>
      </c>
      <c r="H251">
        <v>866</v>
      </c>
      <c r="I251" s="6">
        <v>43546</v>
      </c>
      <c r="J251">
        <v>650</v>
      </c>
      <c r="K251">
        <v>719</v>
      </c>
      <c r="L251" s="6">
        <v>45781</v>
      </c>
      <c r="M251" s="6">
        <v>44230</v>
      </c>
      <c r="N251" s="6">
        <v>1551</v>
      </c>
    </row>
    <row r="252" spans="1:14" x14ac:dyDescent="0.25">
      <c r="A252">
        <v>2026</v>
      </c>
      <c r="B252" s="1" t="s">
        <v>19</v>
      </c>
      <c r="C252" s="1" t="s">
        <v>54</v>
      </c>
      <c r="D252" s="1" t="s">
        <v>654</v>
      </c>
      <c r="E252" t="s">
        <v>329</v>
      </c>
      <c r="F252">
        <v>389</v>
      </c>
      <c r="G252">
        <v>113</v>
      </c>
      <c r="H252">
        <v>502</v>
      </c>
      <c r="I252" s="6">
        <v>27008</v>
      </c>
      <c r="J252" s="6">
        <v>1371</v>
      </c>
      <c r="K252" s="6">
        <v>1534</v>
      </c>
      <c r="L252" s="6">
        <v>30415</v>
      </c>
      <c r="M252" s="6">
        <v>27397</v>
      </c>
      <c r="N252" s="6">
        <v>3018</v>
      </c>
    </row>
    <row r="253" spans="1:14" x14ac:dyDescent="0.25">
      <c r="A253">
        <v>2026</v>
      </c>
      <c r="B253" s="1" t="s">
        <v>20</v>
      </c>
      <c r="C253" s="1" t="s">
        <v>55</v>
      </c>
      <c r="D253" s="1" t="s">
        <v>655</v>
      </c>
      <c r="E253" t="s">
        <v>330</v>
      </c>
      <c r="F253">
        <v>229</v>
      </c>
      <c r="G253">
        <v>61</v>
      </c>
      <c r="H253">
        <v>290</v>
      </c>
      <c r="I253" s="6">
        <v>15415</v>
      </c>
      <c r="J253">
        <v>130</v>
      </c>
      <c r="K253">
        <v>144</v>
      </c>
      <c r="L253" s="6">
        <v>15979</v>
      </c>
      <c r="M253" s="6">
        <v>15644</v>
      </c>
      <c r="N253">
        <v>335</v>
      </c>
    </row>
    <row r="254" spans="1:14" x14ac:dyDescent="0.25">
      <c r="A254">
        <v>2026</v>
      </c>
      <c r="B254" s="1" t="s">
        <v>21</v>
      </c>
      <c r="C254" s="1" t="s">
        <v>56</v>
      </c>
      <c r="D254" s="1" t="s">
        <v>656</v>
      </c>
      <c r="E254" t="s">
        <v>331</v>
      </c>
      <c r="F254">
        <v>389</v>
      </c>
      <c r="G254">
        <v>100</v>
      </c>
      <c r="H254">
        <v>489</v>
      </c>
      <c r="I254" s="6">
        <v>21464</v>
      </c>
      <c r="J254">
        <v>260</v>
      </c>
      <c r="K254">
        <v>286</v>
      </c>
      <c r="L254" s="6">
        <v>22499</v>
      </c>
      <c r="M254" s="6">
        <v>21853</v>
      </c>
      <c r="N254">
        <v>646</v>
      </c>
    </row>
    <row r="255" spans="1:14" x14ac:dyDescent="0.25">
      <c r="A255">
        <v>2026</v>
      </c>
      <c r="B255" s="1" t="s">
        <v>19</v>
      </c>
      <c r="C255" s="1" t="s">
        <v>54</v>
      </c>
      <c r="D255" s="1" t="s">
        <v>657</v>
      </c>
      <c r="E255" t="s">
        <v>332</v>
      </c>
      <c r="F255">
        <v>905</v>
      </c>
      <c r="G255">
        <v>262</v>
      </c>
      <c r="H255" s="6">
        <v>1167</v>
      </c>
      <c r="I255" s="6">
        <v>62844</v>
      </c>
      <c r="J255" s="6">
        <v>48235</v>
      </c>
      <c r="K255" s="6">
        <v>53991</v>
      </c>
      <c r="L255" s="6">
        <v>166237</v>
      </c>
      <c r="M255" s="6">
        <v>63749</v>
      </c>
      <c r="N255" s="6">
        <v>102488</v>
      </c>
    </row>
    <row r="256" spans="1:14" x14ac:dyDescent="0.25">
      <c r="A256">
        <v>2026</v>
      </c>
      <c r="B256" s="63" t="s">
        <v>14</v>
      </c>
      <c r="C256" s="1" t="s">
        <v>49</v>
      </c>
      <c r="D256" s="1" t="s">
        <v>658</v>
      </c>
      <c r="E256" t="s">
        <v>333</v>
      </c>
      <c r="F256">
        <v>0</v>
      </c>
      <c r="G256">
        <v>0</v>
      </c>
      <c r="H256">
        <v>0</v>
      </c>
      <c r="I256" s="6">
        <v>18473</v>
      </c>
      <c r="J256">
        <v>849</v>
      </c>
      <c r="K256">
        <v>951</v>
      </c>
      <c r="L256" s="6">
        <v>20273</v>
      </c>
      <c r="M256" s="6">
        <v>18473</v>
      </c>
      <c r="N256" s="6">
        <v>1800</v>
      </c>
    </row>
    <row r="257" spans="1:14" x14ac:dyDescent="0.25">
      <c r="A257">
        <v>2026</v>
      </c>
      <c r="B257" s="1" t="s">
        <v>19</v>
      </c>
      <c r="C257" s="1" t="s">
        <v>54</v>
      </c>
      <c r="D257" s="1" t="s">
        <v>659</v>
      </c>
      <c r="E257" t="s">
        <v>334</v>
      </c>
      <c r="F257" s="6">
        <v>8744</v>
      </c>
      <c r="G257" s="6">
        <v>2525</v>
      </c>
      <c r="H257" s="6">
        <v>11269</v>
      </c>
      <c r="I257" s="6">
        <v>606475</v>
      </c>
      <c r="J257" s="6">
        <v>109588</v>
      </c>
      <c r="K257" s="6">
        <v>122668</v>
      </c>
      <c r="L257" s="6">
        <v>850000</v>
      </c>
      <c r="M257" s="6">
        <v>615219</v>
      </c>
      <c r="N257" s="6">
        <v>234781</v>
      </c>
    </row>
    <row r="258" spans="1:14" x14ac:dyDescent="0.25">
      <c r="A258">
        <v>2026</v>
      </c>
      <c r="B258" s="1" t="s">
        <v>17</v>
      </c>
      <c r="C258" s="1" t="s">
        <v>52</v>
      </c>
      <c r="D258" s="1" t="s">
        <v>660</v>
      </c>
      <c r="E258" t="s">
        <v>335</v>
      </c>
      <c r="F258">
        <v>472</v>
      </c>
      <c r="G258">
        <v>123</v>
      </c>
      <c r="H258">
        <v>595</v>
      </c>
      <c r="I258" s="6">
        <v>50787</v>
      </c>
      <c r="J258" s="6">
        <v>1625</v>
      </c>
      <c r="K258" s="6">
        <v>1787</v>
      </c>
      <c r="L258" s="6">
        <v>54794</v>
      </c>
      <c r="M258" s="6">
        <v>51259</v>
      </c>
      <c r="N258" s="6">
        <v>3535</v>
      </c>
    </row>
    <row r="259" spans="1:14" x14ac:dyDescent="0.25">
      <c r="A259">
        <v>2026</v>
      </c>
      <c r="B259" s="63" t="s">
        <v>14</v>
      </c>
      <c r="C259" s="1" t="s">
        <v>49</v>
      </c>
      <c r="D259" s="1" t="s">
        <v>661</v>
      </c>
      <c r="E259" t="s">
        <v>336</v>
      </c>
      <c r="F259">
        <v>0</v>
      </c>
      <c r="G259">
        <v>0</v>
      </c>
      <c r="H259">
        <v>0</v>
      </c>
      <c r="I259" s="6">
        <v>38455</v>
      </c>
      <c r="J259" s="6">
        <v>2483</v>
      </c>
      <c r="K259" s="6">
        <v>2780</v>
      </c>
      <c r="L259" s="6">
        <v>43718</v>
      </c>
      <c r="M259" s="6">
        <v>38455</v>
      </c>
      <c r="N259" s="6">
        <v>5263</v>
      </c>
    </row>
    <row r="260" spans="1:14" x14ac:dyDescent="0.25">
      <c r="A260">
        <v>2026</v>
      </c>
      <c r="B260" s="63" t="s">
        <v>14</v>
      </c>
      <c r="C260" s="1" t="s">
        <v>49</v>
      </c>
      <c r="D260" s="1" t="s">
        <v>662</v>
      </c>
      <c r="E260" t="s">
        <v>337</v>
      </c>
      <c r="F260">
        <v>0</v>
      </c>
      <c r="G260">
        <v>0</v>
      </c>
      <c r="H260">
        <v>0</v>
      </c>
      <c r="I260" s="6">
        <v>25597</v>
      </c>
      <c r="J260">
        <v>196</v>
      </c>
      <c r="K260">
        <v>219</v>
      </c>
      <c r="L260" s="6">
        <v>26012</v>
      </c>
      <c r="M260" s="6">
        <v>25597</v>
      </c>
      <c r="N260">
        <v>415</v>
      </c>
    </row>
    <row r="261" spans="1:14" x14ac:dyDescent="0.25">
      <c r="A261">
        <v>2026</v>
      </c>
      <c r="B261" s="1" t="s">
        <v>19</v>
      </c>
      <c r="C261" s="1" t="s">
        <v>54</v>
      </c>
      <c r="D261" s="1" t="s">
        <v>663</v>
      </c>
      <c r="E261" t="s">
        <v>338</v>
      </c>
      <c r="F261">
        <v>356</v>
      </c>
      <c r="G261">
        <v>103</v>
      </c>
      <c r="H261">
        <v>459</v>
      </c>
      <c r="I261" s="6">
        <v>24623</v>
      </c>
      <c r="J261" s="6">
        <v>5548</v>
      </c>
      <c r="K261" s="6">
        <v>6210</v>
      </c>
      <c r="L261" s="6">
        <v>36840</v>
      </c>
      <c r="M261" s="6">
        <v>24979</v>
      </c>
      <c r="N261" s="6">
        <v>11861</v>
      </c>
    </row>
    <row r="262" spans="1:14" x14ac:dyDescent="0.25">
      <c r="A262">
        <v>2026</v>
      </c>
      <c r="B262" s="1" t="s">
        <v>20</v>
      </c>
      <c r="C262" s="1" t="s">
        <v>55</v>
      </c>
      <c r="D262" s="1" t="s">
        <v>664</v>
      </c>
      <c r="E262" t="s">
        <v>339</v>
      </c>
      <c r="F262">
        <v>119</v>
      </c>
      <c r="G262">
        <v>31</v>
      </c>
      <c r="H262">
        <v>150</v>
      </c>
      <c r="I262" s="6">
        <v>8051</v>
      </c>
      <c r="J262">
        <v>0</v>
      </c>
      <c r="K262">
        <v>0</v>
      </c>
      <c r="L262" s="6">
        <v>8201</v>
      </c>
      <c r="M262" s="6">
        <v>8170</v>
      </c>
      <c r="N262">
        <v>31</v>
      </c>
    </row>
    <row r="263" spans="1:14" x14ac:dyDescent="0.25">
      <c r="A263">
        <v>2026</v>
      </c>
      <c r="B263" s="63" t="s">
        <v>15</v>
      </c>
      <c r="C263" s="1" t="s">
        <v>50</v>
      </c>
      <c r="D263" s="1" t="s">
        <v>665</v>
      </c>
      <c r="E263" t="s">
        <v>340</v>
      </c>
      <c r="F263">
        <v>533</v>
      </c>
      <c r="G263">
        <v>147</v>
      </c>
      <c r="H263">
        <v>680</v>
      </c>
      <c r="I263" s="6">
        <v>69726</v>
      </c>
      <c r="J263">
        <v>326</v>
      </c>
      <c r="K263">
        <v>364</v>
      </c>
      <c r="L263" s="6">
        <v>71096</v>
      </c>
      <c r="M263" s="6">
        <v>70259</v>
      </c>
      <c r="N263">
        <v>837</v>
      </c>
    </row>
    <row r="264" spans="1:14" x14ac:dyDescent="0.25">
      <c r="A264">
        <v>2026</v>
      </c>
      <c r="B264" s="63" t="s">
        <v>13</v>
      </c>
      <c r="C264" s="1" t="s">
        <v>48</v>
      </c>
      <c r="D264" s="1" t="s">
        <v>666</v>
      </c>
      <c r="E264" t="s">
        <v>341</v>
      </c>
      <c r="F264">
        <v>458</v>
      </c>
      <c r="G264">
        <v>145</v>
      </c>
      <c r="H264">
        <v>603</v>
      </c>
      <c r="I264" s="6">
        <v>23037</v>
      </c>
      <c r="J264" s="6">
        <v>10442</v>
      </c>
      <c r="K264" s="6">
        <v>11630</v>
      </c>
      <c r="L264" s="6">
        <v>45712</v>
      </c>
      <c r="M264" s="6">
        <v>23495</v>
      </c>
      <c r="N264" s="6">
        <v>22217</v>
      </c>
    </row>
    <row r="265" spans="1:14" x14ac:dyDescent="0.25">
      <c r="A265">
        <v>2026</v>
      </c>
      <c r="B265" s="1" t="s">
        <v>18</v>
      </c>
      <c r="C265" s="1" t="s">
        <v>53</v>
      </c>
      <c r="D265" s="1" t="s">
        <v>667</v>
      </c>
      <c r="E265" t="s">
        <v>342</v>
      </c>
      <c r="F265">
        <v>0</v>
      </c>
      <c r="G265">
        <v>0</v>
      </c>
      <c r="H265">
        <v>0</v>
      </c>
      <c r="I265" s="6">
        <v>244743</v>
      </c>
      <c r="J265" s="6">
        <v>27955</v>
      </c>
      <c r="K265" s="6">
        <v>30722</v>
      </c>
      <c r="L265" s="6">
        <v>303420</v>
      </c>
      <c r="M265" s="6">
        <v>244743</v>
      </c>
      <c r="N265" s="6">
        <v>58677</v>
      </c>
    </row>
    <row r="266" spans="1:14" x14ac:dyDescent="0.25">
      <c r="A266">
        <v>2026</v>
      </c>
      <c r="B266" s="63" t="s">
        <v>14</v>
      </c>
      <c r="C266" s="1" t="s">
        <v>49</v>
      </c>
      <c r="D266" s="1" t="s">
        <v>668</v>
      </c>
      <c r="E266" t="s">
        <v>343</v>
      </c>
      <c r="F266">
        <v>0</v>
      </c>
      <c r="G266">
        <v>0</v>
      </c>
      <c r="H266">
        <v>0</v>
      </c>
      <c r="I266" s="6">
        <v>46669</v>
      </c>
      <c r="J266" s="6">
        <v>1634</v>
      </c>
      <c r="K266" s="6">
        <v>1829</v>
      </c>
      <c r="L266" s="6">
        <v>50132</v>
      </c>
      <c r="M266" s="6">
        <v>46669</v>
      </c>
      <c r="N266" s="6">
        <v>3463</v>
      </c>
    </row>
    <row r="267" spans="1:14" x14ac:dyDescent="0.25">
      <c r="A267">
        <v>2026</v>
      </c>
      <c r="B267" s="1" t="s">
        <v>18</v>
      </c>
      <c r="C267" s="1" t="s">
        <v>53</v>
      </c>
      <c r="D267" s="1" t="s">
        <v>669</v>
      </c>
      <c r="E267" t="s">
        <v>344</v>
      </c>
      <c r="F267">
        <v>0</v>
      </c>
      <c r="G267">
        <v>0</v>
      </c>
      <c r="H267">
        <v>0</v>
      </c>
      <c r="I267" s="6">
        <v>15790</v>
      </c>
      <c r="J267">
        <v>324</v>
      </c>
      <c r="K267">
        <v>356</v>
      </c>
      <c r="L267" s="6">
        <v>16470</v>
      </c>
      <c r="M267" s="6">
        <v>15790</v>
      </c>
      <c r="N267">
        <v>680</v>
      </c>
    </row>
    <row r="268" spans="1:14" x14ac:dyDescent="0.25">
      <c r="A268">
        <v>2026</v>
      </c>
      <c r="B268" s="63" t="s">
        <v>14</v>
      </c>
      <c r="C268" s="1" t="s">
        <v>49</v>
      </c>
      <c r="D268" s="1" t="s">
        <v>670</v>
      </c>
      <c r="E268" t="s">
        <v>345</v>
      </c>
      <c r="F268">
        <v>0</v>
      </c>
      <c r="G268">
        <v>0</v>
      </c>
      <c r="H268">
        <v>0</v>
      </c>
      <c r="I268" s="6">
        <v>88762</v>
      </c>
      <c r="J268" s="6">
        <v>14898</v>
      </c>
      <c r="K268" s="6">
        <v>16680</v>
      </c>
      <c r="L268" s="6">
        <v>120340</v>
      </c>
      <c r="M268" s="6">
        <v>88762</v>
      </c>
      <c r="N268" s="6">
        <v>31578</v>
      </c>
    </row>
    <row r="269" spans="1:14" x14ac:dyDescent="0.25">
      <c r="A269">
        <v>2026</v>
      </c>
      <c r="B269" s="63" t="s">
        <v>14</v>
      </c>
      <c r="C269" s="1" t="s">
        <v>49</v>
      </c>
      <c r="D269" s="1" t="s">
        <v>671</v>
      </c>
      <c r="E269" t="s">
        <v>346</v>
      </c>
      <c r="F269">
        <v>0</v>
      </c>
      <c r="G269">
        <v>0</v>
      </c>
      <c r="H269">
        <v>0</v>
      </c>
      <c r="I269" s="6">
        <v>48384</v>
      </c>
      <c r="J269">
        <v>0</v>
      </c>
      <c r="K269">
        <v>0</v>
      </c>
      <c r="L269" s="6">
        <v>48384</v>
      </c>
      <c r="M269" s="6">
        <v>48384</v>
      </c>
      <c r="N269">
        <v>0</v>
      </c>
    </row>
    <row r="270" spans="1:14" x14ac:dyDescent="0.25">
      <c r="A270">
        <v>2026</v>
      </c>
      <c r="B270" s="1" t="s">
        <v>17</v>
      </c>
      <c r="C270" s="1" t="s">
        <v>52</v>
      </c>
      <c r="D270" s="1" t="s">
        <v>672</v>
      </c>
      <c r="E270" t="s">
        <v>347</v>
      </c>
      <c r="F270">
        <v>135</v>
      </c>
      <c r="G270">
        <v>36</v>
      </c>
      <c r="H270">
        <v>171</v>
      </c>
      <c r="I270" s="6">
        <v>14535</v>
      </c>
      <c r="J270">
        <v>780</v>
      </c>
      <c r="K270">
        <v>858</v>
      </c>
      <c r="L270" s="6">
        <v>16344</v>
      </c>
      <c r="M270" s="6">
        <v>14670</v>
      </c>
      <c r="N270" s="6">
        <v>1674</v>
      </c>
    </row>
    <row r="271" spans="1:14" x14ac:dyDescent="0.25">
      <c r="A271">
        <v>2026</v>
      </c>
      <c r="B271" s="63" t="s">
        <v>15</v>
      </c>
      <c r="C271" s="1" t="s">
        <v>50</v>
      </c>
      <c r="D271" s="1" t="s">
        <v>673</v>
      </c>
      <c r="E271" t="s">
        <v>348</v>
      </c>
      <c r="F271">
        <v>229</v>
      </c>
      <c r="G271">
        <v>64</v>
      </c>
      <c r="H271">
        <v>293</v>
      </c>
      <c r="I271" s="6">
        <v>29434</v>
      </c>
      <c r="J271">
        <v>0</v>
      </c>
      <c r="K271">
        <v>0</v>
      </c>
      <c r="L271" s="6">
        <v>29727</v>
      </c>
      <c r="M271" s="6">
        <v>29663</v>
      </c>
      <c r="N271">
        <v>64</v>
      </c>
    </row>
    <row r="272" spans="1:14" x14ac:dyDescent="0.25">
      <c r="A272">
        <v>2026</v>
      </c>
      <c r="B272" s="1" t="s">
        <v>20</v>
      </c>
      <c r="C272" s="1" t="s">
        <v>55</v>
      </c>
      <c r="D272" s="1" t="s">
        <v>674</v>
      </c>
      <c r="E272" t="s">
        <v>349</v>
      </c>
      <c r="F272">
        <v>127</v>
      </c>
      <c r="G272">
        <v>34</v>
      </c>
      <c r="H272">
        <v>161</v>
      </c>
      <c r="I272" s="6">
        <v>8069</v>
      </c>
      <c r="J272">
        <v>0</v>
      </c>
      <c r="K272">
        <v>0</v>
      </c>
      <c r="L272" s="6">
        <v>8230</v>
      </c>
      <c r="M272" s="6">
        <v>8196</v>
      </c>
      <c r="N272">
        <v>34</v>
      </c>
    </row>
    <row r="273" spans="1:14" x14ac:dyDescent="0.25">
      <c r="A273">
        <v>2026</v>
      </c>
      <c r="B273" s="63" t="s">
        <v>13</v>
      </c>
      <c r="C273" s="1" t="s">
        <v>48</v>
      </c>
      <c r="D273" s="1" t="s">
        <v>675</v>
      </c>
      <c r="E273" t="s">
        <v>350</v>
      </c>
      <c r="F273">
        <v>461</v>
      </c>
      <c r="G273">
        <v>146</v>
      </c>
      <c r="H273">
        <v>607</v>
      </c>
      <c r="I273" s="6">
        <v>23978</v>
      </c>
      <c r="J273">
        <v>261</v>
      </c>
      <c r="K273">
        <v>291</v>
      </c>
      <c r="L273" s="6">
        <v>25137</v>
      </c>
      <c r="M273" s="6">
        <v>24439</v>
      </c>
      <c r="N273">
        <v>698</v>
      </c>
    </row>
    <row r="274" spans="1:14" x14ac:dyDescent="0.25">
      <c r="A274">
        <v>2026</v>
      </c>
      <c r="B274" s="63" t="s">
        <v>14</v>
      </c>
      <c r="C274" s="1" t="s">
        <v>49</v>
      </c>
      <c r="D274" s="1" t="s">
        <v>676</v>
      </c>
      <c r="E274" t="s">
        <v>351</v>
      </c>
      <c r="F274">
        <v>0</v>
      </c>
      <c r="G274">
        <v>0</v>
      </c>
      <c r="H274">
        <v>0</v>
      </c>
      <c r="I274" s="6">
        <v>115269</v>
      </c>
      <c r="J274" s="6">
        <v>12937</v>
      </c>
      <c r="K274" s="6">
        <v>14486</v>
      </c>
      <c r="L274" s="6">
        <v>142692</v>
      </c>
      <c r="M274" s="6">
        <v>115269</v>
      </c>
      <c r="N274" s="6">
        <v>27423</v>
      </c>
    </row>
    <row r="275" spans="1:14" x14ac:dyDescent="0.25">
      <c r="A275">
        <v>2026</v>
      </c>
      <c r="B275" s="63" t="s">
        <v>14</v>
      </c>
      <c r="C275" s="1" t="s">
        <v>49</v>
      </c>
      <c r="D275" s="1" t="s">
        <v>677</v>
      </c>
      <c r="E275" t="s">
        <v>352</v>
      </c>
      <c r="F275">
        <v>0</v>
      </c>
      <c r="G275">
        <v>0</v>
      </c>
      <c r="H275">
        <v>0</v>
      </c>
      <c r="I275" s="6">
        <v>6381</v>
      </c>
      <c r="J275">
        <v>392</v>
      </c>
      <c r="K275">
        <v>439</v>
      </c>
      <c r="L275" s="6">
        <v>7212</v>
      </c>
      <c r="M275" s="6">
        <v>6381</v>
      </c>
      <c r="N275">
        <v>831</v>
      </c>
    </row>
    <row r="276" spans="1:14" x14ac:dyDescent="0.25">
      <c r="A276">
        <v>2026</v>
      </c>
      <c r="B276" s="63" t="s">
        <v>15</v>
      </c>
      <c r="C276" s="1" t="s">
        <v>50</v>
      </c>
      <c r="D276" s="1" t="s">
        <v>678</v>
      </c>
      <c r="E276" t="s">
        <v>353</v>
      </c>
      <c r="F276">
        <v>301</v>
      </c>
      <c r="G276">
        <v>83</v>
      </c>
      <c r="H276">
        <v>384</v>
      </c>
      <c r="I276" s="6">
        <v>38758</v>
      </c>
      <c r="J276">
        <v>326</v>
      </c>
      <c r="K276">
        <v>364</v>
      </c>
      <c r="L276" s="6">
        <v>39832</v>
      </c>
      <c r="M276" s="6">
        <v>39059</v>
      </c>
      <c r="N276">
        <v>773</v>
      </c>
    </row>
    <row r="277" spans="1:14" x14ac:dyDescent="0.25">
      <c r="A277">
        <v>2026</v>
      </c>
      <c r="B277" s="1" t="s">
        <v>17</v>
      </c>
      <c r="C277" s="1" t="s">
        <v>52</v>
      </c>
      <c r="D277" s="1" t="s">
        <v>679</v>
      </c>
      <c r="E277" t="s">
        <v>354</v>
      </c>
      <c r="F277">
        <v>265</v>
      </c>
      <c r="G277">
        <v>69</v>
      </c>
      <c r="H277">
        <v>334</v>
      </c>
      <c r="I277" s="6">
        <v>29814</v>
      </c>
      <c r="J277">
        <v>65</v>
      </c>
      <c r="K277">
        <v>71</v>
      </c>
      <c r="L277" s="6">
        <v>30284</v>
      </c>
      <c r="M277" s="6">
        <v>30079</v>
      </c>
      <c r="N277">
        <v>205</v>
      </c>
    </row>
    <row r="278" spans="1:14" x14ac:dyDescent="0.25">
      <c r="A278">
        <v>2026</v>
      </c>
      <c r="B278" s="1" t="s">
        <v>20</v>
      </c>
      <c r="C278" s="1" t="s">
        <v>55</v>
      </c>
      <c r="D278" s="1" t="s">
        <v>680</v>
      </c>
      <c r="E278" t="s">
        <v>355</v>
      </c>
      <c r="F278">
        <v>348</v>
      </c>
      <c r="G278">
        <v>92</v>
      </c>
      <c r="H278">
        <v>440</v>
      </c>
      <c r="I278" s="6">
        <v>22071</v>
      </c>
      <c r="J278" s="6">
        <v>2665</v>
      </c>
      <c r="K278" s="6">
        <v>2946</v>
      </c>
      <c r="L278" s="6">
        <v>28122</v>
      </c>
      <c r="M278" s="6">
        <v>22419</v>
      </c>
      <c r="N278" s="6">
        <v>5703</v>
      </c>
    </row>
    <row r="279" spans="1:14" x14ac:dyDescent="0.25">
      <c r="A279">
        <v>2026</v>
      </c>
      <c r="B279" s="1" t="s">
        <v>20</v>
      </c>
      <c r="C279" s="1" t="s">
        <v>55</v>
      </c>
      <c r="D279" s="1" t="s">
        <v>681</v>
      </c>
      <c r="E279" t="s">
        <v>356</v>
      </c>
      <c r="F279">
        <v>417</v>
      </c>
      <c r="G279">
        <v>110</v>
      </c>
      <c r="H279">
        <v>527</v>
      </c>
      <c r="I279" s="6">
        <v>26473</v>
      </c>
      <c r="J279">
        <v>390</v>
      </c>
      <c r="K279">
        <v>431</v>
      </c>
      <c r="L279" s="6">
        <v>27821</v>
      </c>
      <c r="M279" s="6">
        <v>26890</v>
      </c>
      <c r="N279">
        <v>931</v>
      </c>
    </row>
    <row r="280" spans="1:14" x14ac:dyDescent="0.25">
      <c r="A280">
        <v>2026</v>
      </c>
      <c r="B280" s="1" t="s">
        <v>21</v>
      </c>
      <c r="C280" s="1" t="s">
        <v>56</v>
      </c>
      <c r="D280" s="1" t="s">
        <v>682</v>
      </c>
      <c r="E280" t="s">
        <v>357</v>
      </c>
      <c r="F280">
        <v>168</v>
      </c>
      <c r="G280">
        <v>43</v>
      </c>
      <c r="H280">
        <v>211</v>
      </c>
      <c r="I280" s="6">
        <v>9882</v>
      </c>
      <c r="J280">
        <v>390</v>
      </c>
      <c r="K280">
        <v>429</v>
      </c>
      <c r="L280" s="6">
        <v>10912</v>
      </c>
      <c r="M280" s="6">
        <v>10050</v>
      </c>
      <c r="N280">
        <v>862</v>
      </c>
    </row>
    <row r="281" spans="1:14" x14ac:dyDescent="0.25">
      <c r="A281">
        <v>2026</v>
      </c>
      <c r="B281" s="63" t="s">
        <v>15</v>
      </c>
      <c r="C281" s="1" t="s">
        <v>50</v>
      </c>
      <c r="D281" s="1" t="s">
        <v>683</v>
      </c>
      <c r="E281" t="s">
        <v>358</v>
      </c>
      <c r="F281">
        <v>149</v>
      </c>
      <c r="G281">
        <v>41</v>
      </c>
      <c r="H281">
        <v>190</v>
      </c>
      <c r="I281" s="6">
        <v>19224</v>
      </c>
      <c r="J281">
        <v>392</v>
      </c>
      <c r="K281">
        <v>437</v>
      </c>
      <c r="L281" s="6">
        <v>20243</v>
      </c>
      <c r="M281" s="6">
        <v>19373</v>
      </c>
      <c r="N281">
        <v>870</v>
      </c>
    </row>
    <row r="282" spans="1:14" x14ac:dyDescent="0.25">
      <c r="A282">
        <v>2026</v>
      </c>
      <c r="B282" s="63" t="s">
        <v>13</v>
      </c>
      <c r="C282" s="1" t="s">
        <v>48</v>
      </c>
      <c r="D282" s="1" t="s">
        <v>684</v>
      </c>
      <c r="E282" t="s">
        <v>359</v>
      </c>
      <c r="F282">
        <v>284</v>
      </c>
      <c r="G282">
        <v>90</v>
      </c>
      <c r="H282">
        <v>374</v>
      </c>
      <c r="I282" s="6">
        <v>14366</v>
      </c>
      <c r="J282" s="6">
        <v>3524</v>
      </c>
      <c r="K282" s="6">
        <v>3925</v>
      </c>
      <c r="L282" s="6">
        <v>22189</v>
      </c>
      <c r="M282" s="6">
        <v>14650</v>
      </c>
      <c r="N282" s="6">
        <v>7539</v>
      </c>
    </row>
    <row r="283" spans="1:14" x14ac:dyDescent="0.25">
      <c r="A283">
        <v>2026</v>
      </c>
      <c r="B283" s="1" t="s">
        <v>18</v>
      </c>
      <c r="C283" s="1" t="s">
        <v>53</v>
      </c>
      <c r="D283" s="1" t="s">
        <v>685</v>
      </c>
      <c r="E283" t="s">
        <v>360</v>
      </c>
      <c r="F283">
        <v>0</v>
      </c>
      <c r="G283">
        <v>0</v>
      </c>
      <c r="H283">
        <v>0</v>
      </c>
      <c r="I283" s="6">
        <v>10888</v>
      </c>
      <c r="J283">
        <v>973</v>
      </c>
      <c r="K283" s="6">
        <v>1069</v>
      </c>
      <c r="L283" s="6">
        <v>12930</v>
      </c>
      <c r="M283" s="6">
        <v>10888</v>
      </c>
      <c r="N283" s="6">
        <v>2042</v>
      </c>
    </row>
    <row r="284" spans="1:14" x14ac:dyDescent="0.25">
      <c r="A284">
        <v>2026</v>
      </c>
      <c r="B284" s="63" t="s">
        <v>14</v>
      </c>
      <c r="C284" s="1" t="s">
        <v>49</v>
      </c>
      <c r="D284" s="1" t="s">
        <v>686</v>
      </c>
      <c r="E284" t="s">
        <v>361</v>
      </c>
      <c r="F284">
        <v>0</v>
      </c>
      <c r="G284">
        <v>0</v>
      </c>
      <c r="H284">
        <v>0</v>
      </c>
      <c r="I284" s="6">
        <v>7156</v>
      </c>
      <c r="J284" s="6">
        <v>1176</v>
      </c>
      <c r="K284" s="6">
        <v>1317</v>
      </c>
      <c r="L284" s="6">
        <v>9649</v>
      </c>
      <c r="M284" s="6">
        <v>7156</v>
      </c>
      <c r="N284" s="6">
        <v>2493</v>
      </c>
    </row>
    <row r="285" spans="1:14" x14ac:dyDescent="0.25">
      <c r="A285">
        <v>2026</v>
      </c>
      <c r="B285" s="1" t="s">
        <v>20</v>
      </c>
      <c r="C285" s="1" t="s">
        <v>55</v>
      </c>
      <c r="D285" s="1" t="s">
        <v>687</v>
      </c>
      <c r="E285" t="s">
        <v>362</v>
      </c>
      <c r="F285">
        <v>455</v>
      </c>
      <c r="G285">
        <v>121</v>
      </c>
      <c r="H285">
        <v>576</v>
      </c>
      <c r="I285" s="6">
        <v>28901</v>
      </c>
      <c r="J285" s="6">
        <v>2600</v>
      </c>
      <c r="K285" s="6">
        <v>2874</v>
      </c>
      <c r="L285" s="6">
        <v>34951</v>
      </c>
      <c r="M285" s="6">
        <v>29356</v>
      </c>
      <c r="N285" s="6">
        <v>5595</v>
      </c>
    </row>
    <row r="286" spans="1:14" x14ac:dyDescent="0.25">
      <c r="A286">
        <v>2026</v>
      </c>
      <c r="B286" s="63" t="s">
        <v>15</v>
      </c>
      <c r="C286" s="1" t="s">
        <v>50</v>
      </c>
      <c r="D286" s="1" t="s">
        <v>688</v>
      </c>
      <c r="E286" t="s">
        <v>363</v>
      </c>
      <c r="F286">
        <v>356</v>
      </c>
      <c r="G286">
        <v>99</v>
      </c>
      <c r="H286">
        <v>455</v>
      </c>
      <c r="I286" s="6">
        <v>46560</v>
      </c>
      <c r="J286" s="6">
        <v>2285</v>
      </c>
      <c r="K286" s="6">
        <v>2547</v>
      </c>
      <c r="L286" s="6">
        <v>51847</v>
      </c>
      <c r="M286" s="6">
        <v>46916</v>
      </c>
      <c r="N286" s="6">
        <v>4931</v>
      </c>
    </row>
    <row r="287" spans="1:14" x14ac:dyDescent="0.25">
      <c r="A287">
        <v>2026</v>
      </c>
      <c r="B287" s="1" t="s">
        <v>18</v>
      </c>
      <c r="C287" s="1" t="s">
        <v>53</v>
      </c>
      <c r="D287" s="1" t="s">
        <v>689</v>
      </c>
      <c r="E287" t="s">
        <v>364</v>
      </c>
      <c r="F287">
        <v>0</v>
      </c>
      <c r="G287">
        <v>0</v>
      </c>
      <c r="H287">
        <v>0</v>
      </c>
      <c r="I287" s="6">
        <v>11791</v>
      </c>
      <c r="J287">
        <v>584</v>
      </c>
      <c r="K287">
        <v>642</v>
      </c>
      <c r="L287" s="6">
        <v>13017</v>
      </c>
      <c r="M287" s="6">
        <v>11791</v>
      </c>
      <c r="N287" s="6">
        <v>1226</v>
      </c>
    </row>
    <row r="288" spans="1:14" x14ac:dyDescent="0.25">
      <c r="A288">
        <v>2026</v>
      </c>
      <c r="B288" s="1" t="s">
        <v>18</v>
      </c>
      <c r="C288" s="1" t="s">
        <v>53</v>
      </c>
      <c r="D288" s="1" t="s">
        <v>690</v>
      </c>
      <c r="E288" t="s">
        <v>365</v>
      </c>
      <c r="F288">
        <v>0</v>
      </c>
      <c r="G288">
        <v>0</v>
      </c>
      <c r="H288">
        <v>0</v>
      </c>
      <c r="I288" s="6">
        <v>115847</v>
      </c>
      <c r="J288" s="6">
        <v>31392</v>
      </c>
      <c r="K288" s="6">
        <v>34500</v>
      </c>
      <c r="L288" s="6">
        <v>181739</v>
      </c>
      <c r="M288" s="6">
        <v>115847</v>
      </c>
      <c r="N288" s="6">
        <v>65892</v>
      </c>
    </row>
    <row r="289" spans="1:14" x14ac:dyDescent="0.25">
      <c r="A289">
        <v>2026</v>
      </c>
      <c r="B289" s="1" t="s">
        <v>21</v>
      </c>
      <c r="C289" s="1" t="s">
        <v>56</v>
      </c>
      <c r="D289" s="1" t="s">
        <v>691</v>
      </c>
      <c r="E289" t="s">
        <v>366</v>
      </c>
      <c r="F289">
        <v>684</v>
      </c>
      <c r="G289">
        <v>175</v>
      </c>
      <c r="H289">
        <v>859</v>
      </c>
      <c r="I289" s="6">
        <v>37900</v>
      </c>
      <c r="J289">
        <v>520</v>
      </c>
      <c r="K289">
        <v>571</v>
      </c>
      <c r="L289" s="6">
        <v>39850</v>
      </c>
      <c r="M289" s="6">
        <v>38584</v>
      </c>
      <c r="N289" s="6">
        <v>1266</v>
      </c>
    </row>
    <row r="290" spans="1:14" x14ac:dyDescent="0.25">
      <c r="A290">
        <v>2026</v>
      </c>
      <c r="B290" s="1" t="s">
        <v>18</v>
      </c>
      <c r="C290" s="1" t="s">
        <v>53</v>
      </c>
      <c r="D290" s="1" t="s">
        <v>692</v>
      </c>
      <c r="E290" t="s">
        <v>367</v>
      </c>
      <c r="F290">
        <v>0</v>
      </c>
      <c r="G290">
        <v>0</v>
      </c>
      <c r="H290">
        <v>0</v>
      </c>
      <c r="I290" s="6">
        <v>29978</v>
      </c>
      <c r="J290" s="6">
        <v>2724</v>
      </c>
      <c r="K290" s="6">
        <v>2994</v>
      </c>
      <c r="L290" s="6">
        <v>35696</v>
      </c>
      <c r="M290" s="6">
        <v>29978</v>
      </c>
      <c r="N290" s="6">
        <v>5718</v>
      </c>
    </row>
    <row r="291" spans="1:14" x14ac:dyDescent="0.25">
      <c r="A291">
        <v>2026</v>
      </c>
      <c r="B291" s="1" t="s">
        <v>20</v>
      </c>
      <c r="C291" s="1" t="s">
        <v>55</v>
      </c>
      <c r="D291" s="1" t="s">
        <v>693</v>
      </c>
      <c r="E291" t="s">
        <v>368</v>
      </c>
      <c r="F291">
        <v>174</v>
      </c>
      <c r="G291">
        <v>46</v>
      </c>
      <c r="H291">
        <v>220</v>
      </c>
      <c r="I291" s="6">
        <v>11391</v>
      </c>
      <c r="J291">
        <v>0</v>
      </c>
      <c r="K291">
        <v>0</v>
      </c>
      <c r="L291" s="6">
        <v>11611</v>
      </c>
      <c r="M291" s="6">
        <v>11565</v>
      </c>
      <c r="N291">
        <v>46</v>
      </c>
    </row>
    <row r="292" spans="1:14" x14ac:dyDescent="0.25">
      <c r="A292">
        <v>2026</v>
      </c>
      <c r="B292" s="1" t="s">
        <v>17</v>
      </c>
      <c r="C292" s="1" t="s">
        <v>52</v>
      </c>
      <c r="D292" s="1" t="s">
        <v>694</v>
      </c>
      <c r="E292" t="s">
        <v>369</v>
      </c>
      <c r="F292">
        <v>566</v>
      </c>
      <c r="G292">
        <v>148</v>
      </c>
      <c r="H292">
        <v>714</v>
      </c>
      <c r="I292" s="6">
        <v>60885</v>
      </c>
      <c r="J292">
        <v>780</v>
      </c>
      <c r="K292">
        <v>858</v>
      </c>
      <c r="L292" s="6">
        <v>63237</v>
      </c>
      <c r="M292" s="6">
        <v>61451</v>
      </c>
      <c r="N292" s="6">
        <v>1786</v>
      </c>
    </row>
    <row r="293" spans="1:14" x14ac:dyDescent="0.25">
      <c r="A293">
        <v>2026</v>
      </c>
      <c r="B293" s="1" t="s">
        <v>21</v>
      </c>
      <c r="C293" s="1" t="s">
        <v>56</v>
      </c>
      <c r="D293" s="1" t="s">
        <v>695</v>
      </c>
      <c r="E293" t="s">
        <v>370</v>
      </c>
      <c r="F293">
        <v>351</v>
      </c>
      <c r="G293">
        <v>89</v>
      </c>
      <c r="H293">
        <v>440</v>
      </c>
      <c r="I293" s="6">
        <v>19401</v>
      </c>
      <c r="J293">
        <v>130</v>
      </c>
      <c r="K293">
        <v>143</v>
      </c>
      <c r="L293" s="6">
        <v>20114</v>
      </c>
      <c r="M293" s="6">
        <v>19752</v>
      </c>
      <c r="N293">
        <v>362</v>
      </c>
    </row>
    <row r="294" spans="1:14" x14ac:dyDescent="0.25">
      <c r="A294">
        <v>2026</v>
      </c>
      <c r="B294" s="1" t="s">
        <v>21</v>
      </c>
      <c r="C294" s="1" t="s">
        <v>56</v>
      </c>
      <c r="D294" s="1" t="s">
        <v>696</v>
      </c>
      <c r="E294" t="s">
        <v>371</v>
      </c>
      <c r="F294">
        <v>378</v>
      </c>
      <c r="G294">
        <v>97</v>
      </c>
      <c r="H294">
        <v>475</v>
      </c>
      <c r="I294" s="6">
        <v>20956</v>
      </c>
      <c r="J294">
        <v>65</v>
      </c>
      <c r="K294">
        <v>71</v>
      </c>
      <c r="L294" s="6">
        <v>21567</v>
      </c>
      <c r="M294" s="6">
        <v>21334</v>
      </c>
      <c r="N294">
        <v>233</v>
      </c>
    </row>
    <row r="295" spans="1:14" x14ac:dyDescent="0.25">
      <c r="A295">
        <v>2026</v>
      </c>
      <c r="B295" s="63" t="s">
        <v>15</v>
      </c>
      <c r="C295" s="1" t="s">
        <v>50</v>
      </c>
      <c r="D295" s="1" t="s">
        <v>697</v>
      </c>
      <c r="E295" t="s">
        <v>372</v>
      </c>
      <c r="F295">
        <v>226</v>
      </c>
      <c r="G295">
        <v>63</v>
      </c>
      <c r="H295">
        <v>289</v>
      </c>
      <c r="I295" s="6">
        <v>30680</v>
      </c>
      <c r="J295" s="6">
        <v>2220</v>
      </c>
      <c r="K295" s="6">
        <v>2475</v>
      </c>
      <c r="L295" s="6">
        <v>35664</v>
      </c>
      <c r="M295" s="6">
        <v>30906</v>
      </c>
      <c r="N295" s="6">
        <v>4758</v>
      </c>
    </row>
    <row r="296" spans="1:14" x14ac:dyDescent="0.25">
      <c r="A296">
        <v>2026</v>
      </c>
      <c r="B296" s="1" t="s">
        <v>17</v>
      </c>
      <c r="C296" s="1" t="s">
        <v>52</v>
      </c>
      <c r="D296" s="1" t="s">
        <v>698</v>
      </c>
      <c r="E296" t="s">
        <v>373</v>
      </c>
      <c r="F296">
        <v>560</v>
      </c>
      <c r="G296">
        <v>147</v>
      </c>
      <c r="H296">
        <v>707</v>
      </c>
      <c r="I296" s="6">
        <v>60807</v>
      </c>
      <c r="J296" s="6">
        <v>7083</v>
      </c>
      <c r="K296" s="6">
        <v>7789</v>
      </c>
      <c r="L296" s="6">
        <v>76386</v>
      </c>
      <c r="M296" s="6">
        <v>61367</v>
      </c>
      <c r="N296" s="6">
        <v>15019</v>
      </c>
    </row>
    <row r="297" spans="1:14" x14ac:dyDescent="0.25">
      <c r="A297">
        <v>2026</v>
      </c>
      <c r="B297" s="63" t="s">
        <v>15</v>
      </c>
      <c r="C297" s="1" t="s">
        <v>50</v>
      </c>
      <c r="D297" s="1" t="s">
        <v>699</v>
      </c>
      <c r="E297" t="s">
        <v>374</v>
      </c>
      <c r="F297" s="6">
        <v>4449</v>
      </c>
      <c r="G297" s="6">
        <v>1232</v>
      </c>
      <c r="H297" s="6">
        <v>5681</v>
      </c>
      <c r="I297" s="6">
        <v>571012</v>
      </c>
      <c r="J297" s="6">
        <v>83571</v>
      </c>
      <c r="K297" s="6">
        <v>93158</v>
      </c>
      <c r="L297" s="6">
        <v>753422</v>
      </c>
      <c r="M297" s="6">
        <v>575461</v>
      </c>
      <c r="N297" s="6">
        <v>177961</v>
      </c>
    </row>
    <row r="298" spans="1:14" x14ac:dyDescent="0.25">
      <c r="A298">
        <v>2026</v>
      </c>
      <c r="B298" s="1" t="s">
        <v>18</v>
      </c>
      <c r="C298" s="1" t="s">
        <v>53</v>
      </c>
      <c r="D298" s="1" t="s">
        <v>700</v>
      </c>
      <c r="E298" t="s">
        <v>375</v>
      </c>
      <c r="F298">
        <v>0</v>
      </c>
      <c r="G298">
        <v>0</v>
      </c>
      <c r="H298">
        <v>0</v>
      </c>
      <c r="I298" s="6">
        <v>459127</v>
      </c>
      <c r="J298" s="6">
        <v>90739</v>
      </c>
      <c r="K298" s="6">
        <v>99721</v>
      </c>
      <c r="L298" s="6">
        <v>649587</v>
      </c>
      <c r="M298" s="6">
        <v>459127</v>
      </c>
      <c r="N298" s="6">
        <v>190460</v>
      </c>
    </row>
    <row r="299" spans="1:14" x14ac:dyDescent="0.25">
      <c r="A299">
        <v>2026</v>
      </c>
      <c r="B299" s="63" t="s">
        <v>15</v>
      </c>
      <c r="C299" s="1" t="s">
        <v>50</v>
      </c>
      <c r="D299" s="1" t="s">
        <v>701</v>
      </c>
      <c r="E299" t="s">
        <v>376</v>
      </c>
      <c r="F299">
        <v>822</v>
      </c>
      <c r="G299">
        <v>228</v>
      </c>
      <c r="H299" s="6">
        <v>1050</v>
      </c>
      <c r="I299" s="6">
        <v>105375</v>
      </c>
      <c r="J299" s="6">
        <v>10773</v>
      </c>
      <c r="K299" s="6">
        <v>12009</v>
      </c>
      <c r="L299" s="6">
        <v>129207</v>
      </c>
      <c r="M299" s="6">
        <v>106197</v>
      </c>
      <c r="N299" s="6">
        <v>23010</v>
      </c>
    </row>
    <row r="300" spans="1:14" x14ac:dyDescent="0.25">
      <c r="A300">
        <v>2026</v>
      </c>
      <c r="B300" s="1" t="s">
        <v>21</v>
      </c>
      <c r="C300" s="1" t="s">
        <v>56</v>
      </c>
      <c r="D300" s="1" t="s">
        <v>702</v>
      </c>
      <c r="E300" t="s">
        <v>377</v>
      </c>
      <c r="F300">
        <v>397</v>
      </c>
      <c r="G300">
        <v>102</v>
      </c>
      <c r="H300">
        <v>499</v>
      </c>
      <c r="I300" s="6">
        <v>22708</v>
      </c>
      <c r="J300">
        <v>0</v>
      </c>
      <c r="K300">
        <v>0</v>
      </c>
      <c r="L300" s="6">
        <v>23207</v>
      </c>
      <c r="M300" s="6">
        <v>23105</v>
      </c>
      <c r="N300">
        <v>102</v>
      </c>
    </row>
    <row r="301" spans="1:14" x14ac:dyDescent="0.25">
      <c r="A301">
        <v>2026</v>
      </c>
      <c r="B301" s="63" t="s">
        <v>14</v>
      </c>
      <c r="C301" s="1" t="s">
        <v>49</v>
      </c>
      <c r="D301" s="1" t="s">
        <v>703</v>
      </c>
      <c r="E301" t="s">
        <v>378</v>
      </c>
      <c r="F301">
        <v>0</v>
      </c>
      <c r="G301">
        <v>0</v>
      </c>
      <c r="H301">
        <v>0</v>
      </c>
      <c r="I301" s="6">
        <v>73298</v>
      </c>
      <c r="J301" s="6">
        <v>5881</v>
      </c>
      <c r="K301" s="6">
        <v>6584</v>
      </c>
      <c r="L301" s="6">
        <v>85763</v>
      </c>
      <c r="M301" s="6">
        <v>73298</v>
      </c>
      <c r="N301" s="6">
        <v>12465</v>
      </c>
    </row>
    <row r="302" spans="1:14" x14ac:dyDescent="0.25">
      <c r="A302">
        <v>2026</v>
      </c>
      <c r="B302" s="63" t="s">
        <v>14</v>
      </c>
      <c r="C302" s="1" t="s">
        <v>49</v>
      </c>
      <c r="D302" s="1" t="s">
        <v>704</v>
      </c>
      <c r="E302" t="s">
        <v>379</v>
      </c>
      <c r="F302">
        <v>0</v>
      </c>
      <c r="G302">
        <v>0</v>
      </c>
      <c r="H302">
        <v>0</v>
      </c>
      <c r="I302" s="6">
        <v>13698</v>
      </c>
      <c r="J302" s="6">
        <v>2614</v>
      </c>
      <c r="K302" s="6">
        <v>2926</v>
      </c>
      <c r="L302" s="6">
        <v>19238</v>
      </c>
      <c r="M302" s="6">
        <v>13698</v>
      </c>
      <c r="N302" s="6">
        <v>5540</v>
      </c>
    </row>
    <row r="303" spans="1:14" x14ac:dyDescent="0.25">
      <c r="A303">
        <v>2026</v>
      </c>
      <c r="B303" s="1" t="s">
        <v>17</v>
      </c>
      <c r="C303" s="1" t="s">
        <v>52</v>
      </c>
      <c r="D303" s="1" t="s">
        <v>705</v>
      </c>
      <c r="E303" t="s">
        <v>380</v>
      </c>
      <c r="F303">
        <v>276</v>
      </c>
      <c r="G303">
        <v>72</v>
      </c>
      <c r="H303">
        <v>348</v>
      </c>
      <c r="I303" s="6">
        <v>29768</v>
      </c>
      <c r="J303">
        <v>975</v>
      </c>
      <c r="K303" s="6">
        <v>1072</v>
      </c>
      <c r="L303" s="6">
        <v>32163</v>
      </c>
      <c r="M303" s="6">
        <v>30044</v>
      </c>
      <c r="N303" s="6">
        <v>2119</v>
      </c>
    </row>
    <row r="304" spans="1:14" x14ac:dyDescent="0.25">
      <c r="A304">
        <v>2026</v>
      </c>
      <c r="B304" s="1" t="s">
        <v>21</v>
      </c>
      <c r="C304" s="1" t="s">
        <v>56</v>
      </c>
      <c r="D304" s="1" t="s">
        <v>706</v>
      </c>
      <c r="E304" t="s">
        <v>381</v>
      </c>
      <c r="F304">
        <v>279</v>
      </c>
      <c r="G304">
        <v>71</v>
      </c>
      <c r="H304">
        <v>350</v>
      </c>
      <c r="I304" s="6">
        <v>15413</v>
      </c>
      <c r="J304" s="6">
        <v>2079</v>
      </c>
      <c r="K304" s="6">
        <v>2286</v>
      </c>
      <c r="L304" s="6">
        <v>20128</v>
      </c>
      <c r="M304" s="6">
        <v>15692</v>
      </c>
      <c r="N304" s="6">
        <v>4436</v>
      </c>
    </row>
    <row r="305" spans="1:14" x14ac:dyDescent="0.25">
      <c r="A305">
        <v>2026</v>
      </c>
      <c r="B305" s="63" t="s">
        <v>13</v>
      </c>
      <c r="C305" s="1" t="s">
        <v>48</v>
      </c>
      <c r="D305" s="1" t="s">
        <v>707</v>
      </c>
      <c r="E305" t="s">
        <v>382</v>
      </c>
      <c r="F305">
        <v>224</v>
      </c>
      <c r="G305">
        <v>70</v>
      </c>
      <c r="H305">
        <v>294</v>
      </c>
      <c r="I305" s="6">
        <v>11250</v>
      </c>
      <c r="J305">
        <v>0</v>
      </c>
      <c r="K305">
        <v>0</v>
      </c>
      <c r="L305" s="6">
        <v>11544</v>
      </c>
      <c r="M305" s="6">
        <v>11474</v>
      </c>
      <c r="N305">
        <v>70</v>
      </c>
    </row>
    <row r="306" spans="1:14" x14ac:dyDescent="0.25">
      <c r="A306">
        <v>2026</v>
      </c>
      <c r="B306" s="1" t="s">
        <v>18</v>
      </c>
      <c r="C306" s="1" t="s">
        <v>53</v>
      </c>
      <c r="D306" s="1" t="s">
        <v>708</v>
      </c>
      <c r="E306" t="s">
        <v>383</v>
      </c>
      <c r="F306">
        <v>0</v>
      </c>
      <c r="G306">
        <v>0</v>
      </c>
      <c r="H306">
        <v>0</v>
      </c>
      <c r="I306" s="6">
        <v>32199</v>
      </c>
      <c r="J306">
        <v>259</v>
      </c>
      <c r="K306">
        <v>285</v>
      </c>
      <c r="L306" s="6">
        <v>32743</v>
      </c>
      <c r="M306" s="6">
        <v>32199</v>
      </c>
      <c r="N306">
        <v>544</v>
      </c>
    </row>
    <row r="307" spans="1:14" x14ac:dyDescent="0.25">
      <c r="A307">
        <v>2026</v>
      </c>
      <c r="B307" s="63" t="s">
        <v>13</v>
      </c>
      <c r="C307" s="1" t="s">
        <v>48</v>
      </c>
      <c r="D307" s="1" t="s">
        <v>709</v>
      </c>
      <c r="E307" t="s">
        <v>384</v>
      </c>
      <c r="F307" s="6">
        <v>1071</v>
      </c>
      <c r="G307">
        <v>339</v>
      </c>
      <c r="H307" s="6">
        <v>1410</v>
      </c>
      <c r="I307" s="6">
        <v>53863</v>
      </c>
      <c r="J307" s="6">
        <v>13639</v>
      </c>
      <c r="K307" s="6">
        <v>15192</v>
      </c>
      <c r="L307" s="6">
        <v>84104</v>
      </c>
      <c r="M307" s="6">
        <v>54934</v>
      </c>
      <c r="N307" s="6">
        <v>29170</v>
      </c>
    </row>
    <row r="308" spans="1:14" x14ac:dyDescent="0.25">
      <c r="A308">
        <v>2026</v>
      </c>
      <c r="B308" s="1" t="s">
        <v>18</v>
      </c>
      <c r="C308" s="1" t="s">
        <v>53</v>
      </c>
      <c r="D308" s="1" t="s">
        <v>710</v>
      </c>
      <c r="E308" t="s">
        <v>385</v>
      </c>
      <c r="F308">
        <v>0</v>
      </c>
      <c r="G308">
        <v>0</v>
      </c>
      <c r="H308">
        <v>0</v>
      </c>
      <c r="I308" s="6">
        <v>283763</v>
      </c>
      <c r="J308" s="6">
        <v>84642</v>
      </c>
      <c r="K308" s="6">
        <v>93020</v>
      </c>
      <c r="L308" s="6">
        <v>461425</v>
      </c>
      <c r="M308" s="6">
        <v>283763</v>
      </c>
      <c r="N308" s="6">
        <v>177662</v>
      </c>
    </row>
    <row r="309" spans="1:14" x14ac:dyDescent="0.25">
      <c r="A309">
        <v>2026</v>
      </c>
      <c r="B309" s="63" t="s">
        <v>15</v>
      </c>
      <c r="C309" s="1" t="s">
        <v>50</v>
      </c>
      <c r="D309" s="1" t="s">
        <v>711</v>
      </c>
      <c r="E309" t="s">
        <v>386</v>
      </c>
      <c r="F309">
        <v>284</v>
      </c>
      <c r="G309">
        <v>79</v>
      </c>
      <c r="H309">
        <v>363</v>
      </c>
      <c r="I309" s="6">
        <v>36578</v>
      </c>
      <c r="J309" s="6">
        <v>3917</v>
      </c>
      <c r="K309" s="6">
        <v>4367</v>
      </c>
      <c r="L309" s="6">
        <v>45225</v>
      </c>
      <c r="M309" s="6">
        <v>36862</v>
      </c>
      <c r="N309" s="6">
        <v>8363</v>
      </c>
    </row>
    <row r="310" spans="1:14" x14ac:dyDescent="0.25">
      <c r="A310">
        <v>2026</v>
      </c>
      <c r="B310" s="63" t="s">
        <v>15</v>
      </c>
      <c r="C310" s="1" t="s">
        <v>50</v>
      </c>
      <c r="D310" s="63" t="s">
        <v>712</v>
      </c>
      <c r="E310" t="s">
        <v>387</v>
      </c>
      <c r="F310">
        <v>215</v>
      </c>
      <c r="G310">
        <v>60</v>
      </c>
      <c r="H310">
        <v>275</v>
      </c>
      <c r="I310" s="6">
        <v>27641</v>
      </c>
      <c r="J310">
        <v>588</v>
      </c>
      <c r="K310">
        <v>655</v>
      </c>
      <c r="L310" s="6">
        <v>29159</v>
      </c>
      <c r="M310" s="6">
        <v>27856</v>
      </c>
      <c r="N310" s="6">
        <v>1303</v>
      </c>
    </row>
    <row r="311" spans="1:14" x14ac:dyDescent="0.25">
      <c r="A311">
        <v>2026</v>
      </c>
      <c r="B311" s="1" t="s">
        <v>20</v>
      </c>
      <c r="C311" s="1" t="s">
        <v>55</v>
      </c>
      <c r="D311" s="1" t="s">
        <v>713</v>
      </c>
      <c r="E311" t="s">
        <v>388</v>
      </c>
      <c r="F311">
        <v>215</v>
      </c>
      <c r="G311">
        <v>57</v>
      </c>
      <c r="H311">
        <v>272</v>
      </c>
      <c r="I311" s="6">
        <v>14005</v>
      </c>
      <c r="J311">
        <v>0</v>
      </c>
      <c r="K311">
        <v>0</v>
      </c>
      <c r="L311" s="6">
        <v>14277</v>
      </c>
      <c r="M311" s="6">
        <v>14220</v>
      </c>
      <c r="N311">
        <v>57</v>
      </c>
    </row>
    <row r="312" spans="1:14" x14ac:dyDescent="0.25">
      <c r="A312">
        <v>2026</v>
      </c>
      <c r="B312" s="63" t="s">
        <v>16</v>
      </c>
      <c r="C312" s="1" t="s">
        <v>51</v>
      </c>
      <c r="D312" s="1" t="s">
        <v>714</v>
      </c>
      <c r="E312" t="s">
        <v>389</v>
      </c>
      <c r="F312">
        <v>649</v>
      </c>
      <c r="G312">
        <v>174</v>
      </c>
      <c r="H312">
        <v>823</v>
      </c>
      <c r="I312" s="6">
        <v>44792</v>
      </c>
      <c r="J312">
        <v>518</v>
      </c>
      <c r="K312">
        <v>567</v>
      </c>
      <c r="L312" s="6">
        <v>46700</v>
      </c>
      <c r="M312" s="6">
        <v>45441</v>
      </c>
      <c r="N312" s="6">
        <v>1259</v>
      </c>
    </row>
    <row r="313" spans="1:14" x14ac:dyDescent="0.25">
      <c r="A313">
        <v>2026</v>
      </c>
      <c r="B313" s="1" t="s">
        <v>19</v>
      </c>
      <c r="C313" s="1" t="s">
        <v>54</v>
      </c>
      <c r="D313" s="1" t="s">
        <v>715</v>
      </c>
      <c r="E313" t="s">
        <v>390</v>
      </c>
      <c r="F313">
        <v>535</v>
      </c>
      <c r="G313">
        <v>155</v>
      </c>
      <c r="H313">
        <v>690</v>
      </c>
      <c r="I313" s="6">
        <v>37083</v>
      </c>
      <c r="J313" s="6">
        <v>10770</v>
      </c>
      <c r="K313" s="6">
        <v>12055</v>
      </c>
      <c r="L313" s="6">
        <v>60598</v>
      </c>
      <c r="M313" s="6">
        <v>37618</v>
      </c>
      <c r="N313" s="6">
        <v>22980</v>
      </c>
    </row>
    <row r="314" spans="1:14" x14ac:dyDescent="0.25">
      <c r="A314">
        <v>2026</v>
      </c>
      <c r="B314" s="63" t="s">
        <v>15</v>
      </c>
      <c r="C314" s="1" t="s">
        <v>50</v>
      </c>
      <c r="D314" s="1" t="s">
        <v>716</v>
      </c>
      <c r="E314" t="s">
        <v>391</v>
      </c>
      <c r="F314">
        <v>268</v>
      </c>
      <c r="G314">
        <v>74</v>
      </c>
      <c r="H314">
        <v>342</v>
      </c>
      <c r="I314" s="6">
        <v>35076</v>
      </c>
      <c r="J314">
        <v>522</v>
      </c>
      <c r="K314">
        <v>582</v>
      </c>
      <c r="L314" s="6">
        <v>36522</v>
      </c>
      <c r="M314" s="6">
        <v>35344</v>
      </c>
      <c r="N314" s="6">
        <v>1178</v>
      </c>
    </row>
    <row r="315" spans="1:14" x14ac:dyDescent="0.25">
      <c r="A315">
        <v>2026</v>
      </c>
      <c r="B315" s="1" t="s">
        <v>19</v>
      </c>
      <c r="C315" s="1" t="s">
        <v>54</v>
      </c>
      <c r="D315" s="1" t="s">
        <v>717</v>
      </c>
      <c r="E315" t="s">
        <v>392</v>
      </c>
      <c r="F315">
        <v>339</v>
      </c>
      <c r="G315">
        <v>99</v>
      </c>
      <c r="H315">
        <v>438</v>
      </c>
      <c r="I315" s="6">
        <v>23841</v>
      </c>
      <c r="J315">
        <v>131</v>
      </c>
      <c r="K315">
        <v>146</v>
      </c>
      <c r="L315" s="6">
        <v>24556</v>
      </c>
      <c r="M315" s="6">
        <v>24180</v>
      </c>
      <c r="N315">
        <v>376</v>
      </c>
    </row>
    <row r="316" spans="1:14" x14ac:dyDescent="0.25">
      <c r="A316">
        <v>2026</v>
      </c>
      <c r="B316" s="1" t="s">
        <v>19</v>
      </c>
      <c r="C316" s="1" t="s">
        <v>54</v>
      </c>
      <c r="D316" s="1" t="s">
        <v>718</v>
      </c>
      <c r="E316" t="s">
        <v>393</v>
      </c>
      <c r="F316">
        <v>436</v>
      </c>
      <c r="G316">
        <v>126</v>
      </c>
      <c r="H316">
        <v>562</v>
      </c>
      <c r="I316" s="6">
        <v>30187</v>
      </c>
      <c r="J316" s="6">
        <v>6201</v>
      </c>
      <c r="K316" s="6">
        <v>6941</v>
      </c>
      <c r="L316" s="6">
        <v>43891</v>
      </c>
      <c r="M316" s="6">
        <v>30623</v>
      </c>
      <c r="N316" s="6">
        <v>13268</v>
      </c>
    </row>
    <row r="317" spans="1:14" x14ac:dyDescent="0.25">
      <c r="A317">
        <v>2026</v>
      </c>
      <c r="B317" s="63" t="s">
        <v>13</v>
      </c>
      <c r="C317" s="1" t="s">
        <v>48</v>
      </c>
      <c r="D317" s="1" t="s">
        <v>719</v>
      </c>
      <c r="E317" t="s">
        <v>394</v>
      </c>
      <c r="F317" s="6">
        <v>2570</v>
      </c>
      <c r="G317">
        <v>813</v>
      </c>
      <c r="H317" s="6">
        <v>3383</v>
      </c>
      <c r="I317" s="6">
        <v>129361</v>
      </c>
      <c r="J317" s="6">
        <v>67218</v>
      </c>
      <c r="K317" s="6">
        <v>74871</v>
      </c>
      <c r="L317" s="6">
        <v>274833</v>
      </c>
      <c r="M317" s="6">
        <v>131931</v>
      </c>
      <c r="N317" s="6">
        <v>142902</v>
      </c>
    </row>
    <row r="318" spans="1:14" x14ac:dyDescent="0.25">
      <c r="A318">
        <v>2026</v>
      </c>
      <c r="B318" s="1" t="s">
        <v>19</v>
      </c>
      <c r="C318" s="1" t="s">
        <v>54</v>
      </c>
      <c r="D318" s="1" t="s">
        <v>720</v>
      </c>
      <c r="E318" t="s">
        <v>395</v>
      </c>
      <c r="F318">
        <v>301</v>
      </c>
      <c r="G318">
        <v>87</v>
      </c>
      <c r="H318">
        <v>388</v>
      </c>
      <c r="I318" s="6">
        <v>21805</v>
      </c>
      <c r="J318">
        <v>718</v>
      </c>
      <c r="K318">
        <v>804</v>
      </c>
      <c r="L318" s="6">
        <v>23715</v>
      </c>
      <c r="M318" s="6">
        <v>22106</v>
      </c>
      <c r="N318" s="6">
        <v>1609</v>
      </c>
    </row>
    <row r="319" spans="1:14" x14ac:dyDescent="0.25">
      <c r="A319">
        <v>2026</v>
      </c>
      <c r="B319" s="1" t="s">
        <v>19</v>
      </c>
      <c r="C319" s="1" t="s">
        <v>54</v>
      </c>
      <c r="D319" s="1" t="s">
        <v>721</v>
      </c>
      <c r="E319" t="s">
        <v>396</v>
      </c>
      <c r="F319">
        <v>99</v>
      </c>
      <c r="G319">
        <v>29</v>
      </c>
      <c r="H319">
        <v>128</v>
      </c>
      <c r="I319" s="6">
        <v>7600</v>
      </c>
      <c r="J319">
        <v>0</v>
      </c>
      <c r="K319">
        <v>0</v>
      </c>
      <c r="L319" s="6">
        <v>7728</v>
      </c>
      <c r="M319" s="6">
        <v>7699</v>
      </c>
      <c r="N319">
        <v>29</v>
      </c>
    </row>
    <row r="320" spans="1:14" x14ac:dyDescent="0.25">
      <c r="A320">
        <v>2026</v>
      </c>
      <c r="B320" s="1" t="s">
        <v>17</v>
      </c>
      <c r="C320" s="1" t="s">
        <v>52</v>
      </c>
      <c r="D320" s="1" t="s">
        <v>722</v>
      </c>
      <c r="E320" t="s">
        <v>397</v>
      </c>
      <c r="F320">
        <v>373</v>
      </c>
      <c r="G320">
        <v>97</v>
      </c>
      <c r="H320">
        <v>470</v>
      </c>
      <c r="I320" s="6">
        <v>40731</v>
      </c>
      <c r="J320" s="6">
        <v>5393</v>
      </c>
      <c r="K320" s="6">
        <v>5931</v>
      </c>
      <c r="L320" s="6">
        <v>52525</v>
      </c>
      <c r="M320" s="6">
        <v>41104</v>
      </c>
      <c r="N320" s="6">
        <v>11421</v>
      </c>
    </row>
    <row r="321" spans="1:14" x14ac:dyDescent="0.25">
      <c r="A321">
        <v>2026</v>
      </c>
      <c r="B321" s="63" t="s">
        <v>16</v>
      </c>
      <c r="C321" s="1" t="s">
        <v>51</v>
      </c>
      <c r="D321" s="1" t="s">
        <v>723</v>
      </c>
      <c r="E321" t="s">
        <v>398</v>
      </c>
      <c r="F321">
        <v>420</v>
      </c>
      <c r="G321">
        <v>112</v>
      </c>
      <c r="H321">
        <v>532</v>
      </c>
      <c r="I321" s="6">
        <v>29699</v>
      </c>
      <c r="J321">
        <v>0</v>
      </c>
      <c r="K321">
        <v>0</v>
      </c>
      <c r="L321" s="6">
        <v>30231</v>
      </c>
      <c r="M321" s="6">
        <v>30119</v>
      </c>
      <c r="N321">
        <v>112</v>
      </c>
    </row>
    <row r="322" spans="1:14" x14ac:dyDescent="0.25">
      <c r="A322">
        <v>2026</v>
      </c>
      <c r="B322" s="1" t="s">
        <v>21</v>
      </c>
      <c r="C322" s="1" t="s">
        <v>56</v>
      </c>
      <c r="D322" s="1" t="s">
        <v>724</v>
      </c>
      <c r="E322" t="s">
        <v>399</v>
      </c>
      <c r="F322">
        <v>215</v>
      </c>
      <c r="G322">
        <v>55</v>
      </c>
      <c r="H322">
        <v>270</v>
      </c>
      <c r="I322" s="6">
        <v>12192</v>
      </c>
      <c r="J322">
        <v>0</v>
      </c>
      <c r="K322">
        <v>0</v>
      </c>
      <c r="L322" s="6">
        <v>12462</v>
      </c>
      <c r="M322" s="6">
        <v>12407</v>
      </c>
      <c r="N322">
        <v>55</v>
      </c>
    </row>
    <row r="323" spans="1:14" x14ac:dyDescent="0.25">
      <c r="A323">
        <v>2026</v>
      </c>
      <c r="B323" s="1" t="s">
        <v>18</v>
      </c>
      <c r="C323" s="1" t="s">
        <v>53</v>
      </c>
      <c r="D323" s="1" t="s">
        <v>725</v>
      </c>
      <c r="E323" t="s">
        <v>400</v>
      </c>
      <c r="F323">
        <v>0</v>
      </c>
      <c r="G323">
        <v>0</v>
      </c>
      <c r="H323">
        <v>0</v>
      </c>
      <c r="I323" s="6">
        <v>55064</v>
      </c>
      <c r="J323" s="6">
        <v>1103</v>
      </c>
      <c r="K323" s="6">
        <v>1212</v>
      </c>
      <c r="L323" s="6">
        <v>57379</v>
      </c>
      <c r="M323" s="6">
        <v>55064</v>
      </c>
      <c r="N323" s="6">
        <v>2315</v>
      </c>
    </row>
    <row r="324" spans="1:14" x14ac:dyDescent="0.25">
      <c r="A324">
        <v>2026</v>
      </c>
      <c r="B324" s="1" t="s">
        <v>20</v>
      </c>
      <c r="C324" s="1" t="s">
        <v>55</v>
      </c>
      <c r="D324" s="1" t="s">
        <v>726</v>
      </c>
      <c r="E324" t="s">
        <v>401</v>
      </c>
      <c r="F324">
        <v>323</v>
      </c>
      <c r="G324">
        <v>85</v>
      </c>
      <c r="H324">
        <v>408</v>
      </c>
      <c r="I324" s="6">
        <v>20525</v>
      </c>
      <c r="J324">
        <v>260</v>
      </c>
      <c r="K324">
        <v>287</v>
      </c>
      <c r="L324" s="6">
        <v>21480</v>
      </c>
      <c r="M324" s="6">
        <v>20848</v>
      </c>
      <c r="N324">
        <v>632</v>
      </c>
    </row>
    <row r="325" spans="1:14" x14ac:dyDescent="0.25">
      <c r="A325">
        <v>2026</v>
      </c>
      <c r="B325" s="1" t="s">
        <v>19</v>
      </c>
      <c r="C325" s="1" t="s">
        <v>54</v>
      </c>
      <c r="D325" s="1" t="s">
        <v>727</v>
      </c>
      <c r="E325" t="s">
        <v>402</v>
      </c>
      <c r="F325">
        <v>312</v>
      </c>
      <c r="G325">
        <v>90</v>
      </c>
      <c r="H325">
        <v>402</v>
      </c>
      <c r="I325" s="6">
        <v>21690</v>
      </c>
      <c r="J325">
        <v>326</v>
      </c>
      <c r="K325">
        <v>365</v>
      </c>
      <c r="L325" s="6">
        <v>22783</v>
      </c>
      <c r="M325" s="6">
        <v>22002</v>
      </c>
      <c r="N325">
        <v>781</v>
      </c>
    </row>
    <row r="326" spans="1:14" x14ac:dyDescent="0.25">
      <c r="A326">
        <v>2026</v>
      </c>
      <c r="B326" s="1" t="s">
        <v>18</v>
      </c>
      <c r="C326" s="1" t="s">
        <v>53</v>
      </c>
      <c r="D326" s="1" t="s">
        <v>728</v>
      </c>
      <c r="E326" t="s">
        <v>403</v>
      </c>
      <c r="F326">
        <v>0</v>
      </c>
      <c r="G326">
        <v>0</v>
      </c>
      <c r="H326">
        <v>0</v>
      </c>
      <c r="I326" s="6">
        <v>35805</v>
      </c>
      <c r="J326" s="6">
        <v>1816</v>
      </c>
      <c r="K326" s="6">
        <v>1996</v>
      </c>
      <c r="L326" s="6">
        <v>39617</v>
      </c>
      <c r="M326" s="6">
        <v>35805</v>
      </c>
      <c r="N326" s="6">
        <v>3812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Data</vt:lpstr>
      <vt:lpstr>Notes</vt:lpstr>
      <vt:lpstr>Payment</vt:lpstr>
      <vt:lpstr>PaymentCodingDetailCheck-old</vt:lpstr>
      <vt:lpstr>PaymentCodingTotal</vt:lpstr>
      <vt:lpstr>PaymentCodingDetai_Sept-May</vt:lpstr>
      <vt:lpstr>PaymentCodingDetai_Sept-May-old</vt:lpstr>
      <vt:lpstr>PaymentCodingDetail_June</vt:lpstr>
      <vt:lpstr>PaymentBreakdown-FY26 and beyon</vt:lpstr>
      <vt:lpstr>PaymentCodingDetail_June-old</vt:lpstr>
      <vt:lpstr>PaymentCodingTotal-old</vt:lpstr>
      <vt:lpstr>Final Total Check-old</vt:lpstr>
      <vt:lpstr>Data_Detail-old</vt:lpstr>
      <vt:lpstr>'Final Total Check-old'!Print_Area</vt:lpstr>
      <vt:lpstr>'PaymentCodingDetai_Sept-May'!Print_Area</vt:lpstr>
      <vt:lpstr>'PaymentCodingDetai_Sept-May-old'!Print_Area</vt:lpstr>
      <vt:lpstr>PaymentCodingDetail_June!Print_Area</vt:lpstr>
      <vt:lpstr>'PaymentCodingDetail_June-old'!Print_Area</vt:lpstr>
      <vt:lpstr>'PaymentCodingDetailCheck-old'!Print_Area</vt:lpstr>
      <vt:lpstr>PaymentCodingTotal!Print_Area</vt:lpstr>
      <vt:lpstr>'PaymentCodingTotal-old'!Print_Area</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Department of Management</dc:creator>
  <cp:lastModifiedBy>Parker, John</cp:lastModifiedBy>
  <cp:lastPrinted>2025-09-10T16:00:09Z</cp:lastPrinted>
  <dcterms:created xsi:type="dcterms:W3CDTF">2017-09-06T19:30:28Z</dcterms:created>
  <dcterms:modified xsi:type="dcterms:W3CDTF">2025-09-10T16:01:57Z</dcterms:modified>
</cp:coreProperties>
</file>