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13_ncr:1_{7BD952AB-CC94-4D53-B131-A8F31C8F31B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19" i="15" s="1"/>
  <c r="Q22" i="15" s="1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R22" i="15" l="1"/>
  <c r="I22" i="15"/>
  <c r="K22" i="15"/>
  <c r="J22" i="15"/>
  <c r="O22" i="15"/>
  <c r="N22" i="15"/>
  <c r="F22" i="15"/>
  <c r="U24" i="15"/>
  <c r="M22" i="15"/>
  <c r="E22" i="15"/>
  <c r="H22" i="15"/>
  <c r="T14" i="15"/>
  <c r="W14" i="15" s="1"/>
  <c r="T9" i="15"/>
  <c r="W9" i="15" s="1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Q50" i="9" s="1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K48" i="9" l="1"/>
  <c r="E50" i="9"/>
  <c r="E24" i="15"/>
  <c r="F24" i="15" s="1"/>
  <c r="T11" i="15"/>
  <c r="T19" i="15"/>
  <c r="W19" i="15" s="1"/>
  <c r="S22" i="15"/>
  <c r="G24" i="15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2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<sst xmlns="http://schemas.openxmlformats.org/spreadsheetml/2006/main" count="969" uniqueCount="360">
  <si>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</si>
  <si>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</si>
  <si>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</si>
  <si>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</si>
  <si>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</si>
  <si>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</si>
  <si>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</si>
  <si>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</si>
  <si>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</si>
  <si>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</si>
  <si>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</si>
  <si>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</si>
  <si>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</si>
  <si>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</si>
  <si>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</si>
  <si>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</si>
  <si>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</si>
  <si>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</si>
  <si>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</si>
  <si>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</si>
  <si>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</si>
  <si>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</si>
  <si>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</si>
  <si>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</si>
  <si>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</si>
  <si>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</si>
  <si>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</si>
  <si>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</si>
  <si>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</si>
  <si>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</si>
  <si>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</si>
  <si>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</si>
  <si>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</si>
  <si>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</si>
  <si>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</si>
  <si>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</si>
  <si>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</si>
  <si>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</si>
  <si>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</si>
  <si>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</si>
  <si>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</si>
  <si>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</si>
  <si>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</si>
  <si>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</si>
  <si>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</si>
  <si>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</si>
  <si>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</si>
  <si>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</si>
  <si>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</si>
  <si>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</si>
  <si>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</si>
  <si>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</si>
  <si>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</si>
  <si>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</si>
  <si>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</si>
  <si>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</si>
  <si>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</si>
  <si>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</si>
  <si>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</si>
  <si>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</si>
  <si>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</si>
  <si>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</si>
  <si>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</si>
  <si>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</si>
  <si>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</si>
  <si>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</si>
  <si>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</si>
  <si>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</si>
  <si>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</si>
  <si>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</si>
  <si>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</si>
  <si>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</si>
  <si>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</si>
  <si>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</si>
  <si>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</si>
  <si>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</si>
  <si>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</si>
  <si>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</si>
  <si>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</si>
  <si>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</si>
  <si>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</si>
  <si>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</si>
  <si>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</si>
  <si>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</si>
  <si>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</si>
  <si>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</si>
  <si>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</si>
  <si>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</si>
  <si>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</si>
  <si>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</si>
  <si>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</si>
  <si>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</si>
  <si>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</si>
  <si>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</si>
  <si>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</si>
  <si>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</si>
  <si>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</si>
  <si>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</si>
  <si>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</si>
  <si>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</si>
  <si>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</si>
  <si>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</si>
  <si>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</si>
  <si>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</si>
  <si>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</si>
  <si>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</si>
  <si>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</si>
  <si>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</si>
  <si>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</si>
  <si>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</si>
  <si>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</si>
  <si>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</si>
  <si>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</si>
  <si>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</si>
  <si>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</si>
  <si>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</si>
  <si>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</si>
  <si>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</si>
  <si>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</si>
  <si>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</si>
  <si>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</si>
  <si>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</si>
  <si>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</si>
  <si>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</si>
  <si>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</si>
  <si>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</si>
  <si>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</si>
  <si>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</si>
  <si>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</si>
  <si>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</si>
  <si>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</si>
  <si>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</si>
  <si>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</si>
  <si>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</si>
  <si>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</si>
  <si>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</si>
  <si>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</si>
  <si>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</si>
  <si>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</si>
  <si>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</si>
  <si>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</si>
  <si>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</si>
  <si>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</si>
  <si>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</si>
  <si>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</si>
  <si>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</si>
  <si>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</si>
  <si>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</si>
  <si>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</si>
  <si>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</si>
  <si>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</si>
  <si>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</si>
  <si>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</si>
  <si>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</si>
  <si>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</si>
  <si>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</si>
  <si>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</si>
  <si>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</si>
  <si>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</si>
  <si>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</si>
  <si>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</si>
  <si>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</si>
  <si>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</si>
  <si>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</si>
  <si>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</si>
  <si>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</si>
  <si>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</si>
  <si>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</si>
  <si>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</si>
  <si>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</si>
  <si>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</si>
  <si>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</si>
  <si>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</si>
  <si>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</si>
  <si>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</si>
  <si>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</si>
  <si>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</si>
  <si>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</si>
  <si>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</si>
  <si>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</si>
  <si>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</si>
  <si>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</si>
  <si>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</si>
  <si>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</si>
  <si>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</si>
  <si>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</si>
  <si>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</si>
  <si>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</si>
  <si>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</si>
  <si>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</si>
  <si>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</si>
  <si>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</si>
  <si>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</si>
  <si>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</si>
  <si>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</si>
  <si>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</si>
  <si>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</si>
  <si>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</si>
  <si>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</si>
  <si>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</si>
  <si>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</si>
  <si>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</si>
  <si>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</si>
  <si>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</si>
  <si>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</si>
  <si>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</si>
  <si>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</si>
  <si>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</si>
  <si>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</si>
  <si>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</si>
  <si>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</si>
  <si>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</si>
  <si>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</si>
  <si>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</si>
  <si>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</si>
  <si>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</si>
  <si>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</si>
  <si>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</si>
  <si>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</si>
  <si>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</si>
  <si>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</si>
  <si>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</si>
  <si>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</si>
  <si>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</si>
  <si>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</si>
  <si>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</si>
  <si>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</si>
  <si>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</si>
  <si>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</si>
  <si>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</si>
  <si>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</si>
  <si>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</si>
  <si>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</si>
  <si>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</si>
  <si>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</si>
  <si>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</si>
  <si>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</si>
  <si>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</si>
  <si>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</si>
  <si>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</si>
  <si>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</si>
  <si>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</si>
  <si>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</si>
  <si>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</si>
  <si>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</si>
  <si>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</si>
  <si>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</si>
  <si>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</si>
  <si>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</si>
  <si>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</si>
  <si>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</si>
  <si>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</si>
  <si>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</si>
  <si>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</si>
  <si>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</si>
  <si>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</si>
  <si>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</si>
  <si>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</si>
  <si>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</si>
  <si>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</si>
  <si>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</si>
  <si>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</si>
  <si>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</si>
  <si>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</si>
  <si>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</si>
  <si>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</si>
  <si>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</si>
  <si>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</si>
  <si>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</si>
  <si>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</si>
  <si>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</si>
  <si>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</si>
  <si>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</si>
  <si>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</si>
  <si>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</si>
  <si>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</si>
  <si>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</si>
  <si>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</si>
  <si>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</si>
  <si>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</si>
  <si>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</si>
  <si>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</si>
  <si>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</si>
  <si>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</si>
  <si>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</si>
  <si>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</si>
  <si>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</si>
  <si>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</si>
  <si>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</si>
  <si>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</si>
  <si>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</si>
  <si>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</si>
  <si>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</si>
  <si>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</si>
  <si>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</si>
  <si>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</si>
  <si>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</si>
  <si>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</si>
  <si>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</si>
  <si>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</si>
  <si>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</si>
  <si>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</si>
  <si>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</si>
  <si>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</si>
  <si>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</si>
  <si>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</si>
  <si>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</si>
  <si>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</si>
  <si>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</si>
  <si>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</si>
  <si>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</si>
  <si>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</si>
  <si>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</si>
  <si>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</si>
  <si>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</si>
  <si>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</si>
  <si>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</si>
  <si>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</si>
  <si>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</si>
  <si>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</si>
  <si>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</si>
  <si>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</si>
  <si>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</si>
  <si>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</si>
  <si>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</si>
  <si>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</si>
  <si>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</si>
  <si>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</si>
  <si>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</si>
  <si>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</si>
  <si>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</si>
  <si>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</si>
  <si>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</si>
  <si>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</si>
  <si>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</si>
  <si>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</si>
  <si>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</si>
  <si>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</si>
  <si>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</si>
  <si>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</si>
  <si>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</si>
  <si>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</si>
  <si>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</si>
  <si>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</si>
  <si>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</si>
  <si>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</si>
  <si>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</si>
  <si>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</si>
  <si>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</si>
  <si>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</si>
  <si>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</si>
  <si>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</si>
  <si>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</si>
  <si>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</si>
  <si>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</si>
  <si>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</si>
  <si>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Period 2- August 2026</t>
  </si>
  <si>
    <t>Final Y-E Cash Carry Forward to FY2026 completed in August 2025.</t>
  </si>
  <si>
    <t>FY2024 GAAP Package completed September 6. FY2025 is being worked on.</t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</si>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</sst>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198788.21</c:v>
                </c:pt>
                <c:pt idx="1">
                  <c:v>0</c:v>
                </c:pt>
                <c:pt idx="2">
                  <c:v>0</c:v>
                </c:pt>
                <c:pt idx="3">
                  <c:v>6058.09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311.67</c:v>
                </c:pt>
                <c:pt idx="9">
                  <c:v>932.89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74.67</c:v>
                </c:pt>
                <c:pt idx="14">
                  <c:v>0</c:v>
                </c:pt>
                <c:pt idx="15">
                  <c:v>0</c:v>
                </c:pt>
                <c:pt idx="16">
                  <c:v>275.57</c:v>
                </c:pt>
                <c:pt idx="17">
                  <c:v>1332.98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44.09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1.5278871429318283E-2"/>
                  <c:y val="-5.2946342773891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Office Supplies</c:v>
                </c:pt>
                <c:pt idx="2">
                  <c:v>ITD Reimbursements</c:v>
                </c:pt>
                <c:pt idx="3">
                  <c:v>Communications</c:v>
                </c:pt>
                <c:pt idx="4">
                  <c:v>Postage</c:v>
                </c:pt>
                <c:pt idx="5">
                  <c:v>Reimbursements To Other Agency</c:v>
                </c:pt>
                <c:pt idx="6">
                  <c:v>Outside Services</c:v>
                </c:pt>
                <c:pt idx="7">
                  <c:v>IT Equipment &amp; Software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198788.21</c:v>
                </c:pt>
                <c:pt idx="1">
                  <c:v>6058.09</c:v>
                </c:pt>
                <c:pt idx="2">
                  <c:v>1332.98</c:v>
                </c:pt>
                <c:pt idx="3">
                  <c:v>932.89</c:v>
                </c:pt>
                <c:pt idx="4">
                  <c:v>311.67</c:v>
                </c:pt>
                <c:pt idx="5">
                  <c:v>275.57</c:v>
                </c:pt>
                <c:pt idx="6">
                  <c:v>74.67</c:v>
                </c:pt>
                <c:pt idx="7">
                  <c:v>44.09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335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45902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345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356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7">
        <f>'9397 BOEE'!P53</f>
        <v>1453123.8200000003</v>
      </c>
      <c r="F19" s="407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8">
        <f>SUM(D19:D19)</f>
        <v>1453123.8200000003</v>
      </c>
      <c r="E20" s="409"/>
      <c r="F20" s="408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344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357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358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348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0" t="s">
        <v>326</v>
      </c>
      <c r="C48" s="14"/>
      <c r="D48" s="411" t="s">
        <v>327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117500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125000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98000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103000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159500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123000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351688.5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43000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45000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35000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38000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58000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45500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98300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160500</v>
      </c>
      <c r="G17" s="101">
        <f t="shared" si="7"/>
        <v>170000</v>
      </c>
      <c r="H17" s="101">
        <f t="shared" si="7"/>
        <v>133000</v>
      </c>
      <c r="I17" s="101">
        <f t="shared" si="7"/>
        <v>141000</v>
      </c>
      <c r="J17" s="101">
        <f t="shared" si="7"/>
        <v>217500</v>
      </c>
      <c r="K17" s="101">
        <f t="shared" si="7"/>
        <v>168500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449988.5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136489.70000000001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136489.70000000001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136489.70000000001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136489.70000000001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136489.70000000001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136489.70000000001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198788.21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0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0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0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0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0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0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0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0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0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6058.09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0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0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0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0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311.67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0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0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0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932.89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12000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6000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6000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6000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6000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6000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6000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6000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0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0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0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0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0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74.67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0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0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0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0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0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275.57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0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0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0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0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1332.98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9666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4833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4833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4833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4833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4833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4833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0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0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0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44.09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0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0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0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0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0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158155.70000000001</v>
      </c>
      <c r="G50" s="101">
        <f t="shared" si="25"/>
        <v>147322.70000000001</v>
      </c>
      <c r="H50" s="101">
        <f t="shared" si="25"/>
        <v>147322.70000000001</v>
      </c>
      <c r="I50" s="101">
        <f t="shared" si="25"/>
        <v>147322.70000000001</v>
      </c>
      <c r="J50" s="101">
        <f t="shared" si="25"/>
        <v>147322.70000000001</v>
      </c>
      <c r="K50" s="101">
        <f t="shared" si="25"/>
        <v>147322.70000000001</v>
      </c>
      <c r="L50" s="101">
        <f t="shared" si="25"/>
        <v>147322.70000000001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71986.58</v>
      </c>
      <c r="Q50" s="101">
        <f t="shared" si="25"/>
        <v>0</v>
      </c>
      <c r="R50" s="101">
        <f t="shared" si="25"/>
        <v>0</v>
      </c>
      <c r="S50" s="101">
        <f t="shared" si="25"/>
        <v>207818.17000000004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2344.2999999999884</v>
      </c>
      <c r="G52" s="101">
        <f t="shared" si="26"/>
        <v>22677.299999999988</v>
      </c>
      <c r="H52" s="101">
        <f t="shared" si="26"/>
        <v>-14322.700000000012</v>
      </c>
      <c r="I52" s="101">
        <f t="shared" si="26"/>
        <v>-6322.7000000000116</v>
      </c>
      <c r="J52" s="101">
        <f t="shared" si="26"/>
        <v>70177.299999999988</v>
      </c>
      <c r="K52" s="101">
        <f t="shared" si="26"/>
        <v>21177.299999999988</v>
      </c>
      <c r="L52" s="101">
        <f t="shared" si="26"/>
        <v>14677.299999999988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-71986.58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344514.63</v>
      </c>
      <c r="G53" s="130">
        <f t="shared" si="27"/>
        <v>367191.93</v>
      </c>
      <c r="H53" s="130">
        <f t="shared" si="27"/>
        <v>352869.23</v>
      </c>
      <c r="I53" s="130">
        <f t="shared" si="27"/>
        <v>346546.52999999997</v>
      </c>
      <c r="J53" s="130">
        <f t="shared" si="27"/>
        <v>416723.82999999996</v>
      </c>
      <c r="K53" s="130">
        <f t="shared" ref="K53" si="28">J53+K52</f>
        <v>437901.12999999995</v>
      </c>
      <c r="L53" s="130">
        <f t="shared" ref="L53" si="29">K53+L52</f>
        <v>452578.42999999993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325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0.16666666666666666</v>
      </c>
      <c r="W3" s="48"/>
    </row>
    <row r="4" spans="1:28" s="1" customFormat="1" ht="18" customHeight="1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346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1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5">
        <f>SUMIF($D$6:$R$6,$X$2,D9:R9)</f>
        <v>0</v>
      </c>
      <c r="T9" s="414">
        <f>SUM(D9:R9)</f>
        <v>-1050000</v>
      </c>
      <c r="U9" s="379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0</v>
      </c>
      <c r="T11" s="70">
        <f>SUM(D11:R11)</f>
        <v>0</v>
      </c>
      <c r="U11" s="70">
        <v>500</v>
      </c>
      <c r="V11" s="199">
        <f>IF(U11=0,0,SUMIF($D$6:$R$6,$X$2,D11:R11)/U11)</f>
        <v>0</v>
      </c>
      <c r="W11" s="199">
        <f>IF(U11=0,0,T11/U11)</f>
        <v>0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117500</v>
      </c>
      <c r="G12" s="198">
        <v>125000</v>
      </c>
      <c r="H12" s="198">
        <v>98000</v>
      </c>
      <c r="I12" s="198">
        <v>103000</v>
      </c>
      <c r="J12" s="198">
        <v>159500</v>
      </c>
      <c r="K12" s="198">
        <v>123000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351688.5</v>
      </c>
      <c r="T12" s="70">
        <f>SUM(D12:R12)</f>
        <v>1736688.5</v>
      </c>
      <c r="U12" s="70">
        <v>1800000</v>
      </c>
      <c r="V12" s="199">
        <f>IF(U12=0,0,SUMIF($D$6:$R$6,$X$2,D12:R12)/U12)</f>
        <v>0.19538249999999999</v>
      </c>
      <c r="W12" s="199">
        <f>IF(U12=0,0,T12/U12)</f>
        <v>0.96482694444444439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43000</v>
      </c>
      <c r="G14" s="198">
        <v>45000</v>
      </c>
      <c r="H14" s="198">
        <v>35000</v>
      </c>
      <c r="I14" s="198">
        <v>38000</v>
      </c>
      <c r="J14" s="198">
        <v>58000</v>
      </c>
      <c r="K14" s="198">
        <v>45500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98300</v>
      </c>
      <c r="T14" s="70">
        <f>SUM(D14:R14)</f>
        <v>557300</v>
      </c>
      <c r="U14" s="70">
        <v>590000</v>
      </c>
      <c r="V14" s="199">
        <f>IF(U14=0,0,SUMIF($D$6:$R$6,$X$2,D14:R14)/U14)</f>
        <v>0.16661016949152543</v>
      </c>
      <c r="W14" s="199">
        <f>IF(U14=0,0,T14/U14)</f>
        <v>0.94457627118644072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160500</v>
      </c>
      <c r="G16" s="91">
        <f t="shared" si="0"/>
        <v>170000</v>
      </c>
      <c r="H16" s="91">
        <f t="shared" si="0"/>
        <v>133000</v>
      </c>
      <c r="I16" s="91">
        <f t="shared" si="0"/>
        <v>141000</v>
      </c>
      <c r="J16" s="91">
        <f t="shared" si="0"/>
        <v>217500</v>
      </c>
      <c r="K16" s="91">
        <f t="shared" si="0"/>
        <v>168500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1478988.5699999998</v>
      </c>
      <c r="T16" s="91">
        <f t="shared" si="1"/>
        <v>2272988.5699999998</v>
      </c>
      <c r="U16" s="91">
        <f t="shared" si="1"/>
        <v>2862962</v>
      </c>
      <c r="V16" s="202">
        <f>SUMIF($D$6:$R$6,$X$2,D16:R16)/U16</f>
        <v>0.51659385280000214</v>
      </c>
      <c r="W16" s="202">
        <f>T16/U16</f>
        <v>0.79392900429694835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136489.70000000001</v>
      </c>
      <c r="G19" s="70">
        <v>136489.70000000001</v>
      </c>
      <c r="H19" s="70">
        <v>136489.70000000001</v>
      </c>
      <c r="I19" s="70">
        <v>136489.70000000001</v>
      </c>
      <c r="J19" s="70">
        <v>136489.70000000001</v>
      </c>
      <c r="K19" s="70">
        <v>136489.70000000001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198788.21</v>
      </c>
      <c r="T19" s="70">
        <f t="shared" ref="T19:T42" si="3">SUM(D19:R19)</f>
        <v>1624838.7899999998</v>
      </c>
      <c r="U19" s="70">
        <v>1774366</v>
      </c>
      <c r="V19" s="199">
        <f>IF(U19=0,0,SUMIF($D$6:$R$6,$X$2,D19:R19)/U19)</f>
        <v>0.11203337417421208</v>
      </c>
      <c r="W19" s="199">
        <f>IF(U19=0,0,T19/U19)</f>
        <v>0.91572921821089892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0</v>
      </c>
      <c r="T20" s="70">
        <f t="shared" si="3"/>
        <v>0</v>
      </c>
      <c r="U20" s="198">
        <v>15000</v>
      </c>
      <c r="V20" s="199">
        <f t="shared" ref="V20:V42" si="4">IF(U20=0,0,SUMIF($D$6:$R$6,$X$2,D20:R20)/U20)</f>
        <v>0</v>
      </c>
      <c r="W20" s="199">
        <f t="shared" ref="W20:W42" si="5">IF(U20=0,0,T20/U20)</f>
        <v>0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0</v>
      </c>
      <c r="T21" s="70">
        <f t="shared" ref="T21" si="7">SUM(D21:R21)</f>
        <v>0</v>
      </c>
      <c r="U21" s="198">
        <v>20000</v>
      </c>
      <c r="V21" s="199">
        <f t="shared" ref="V21" si="8">IF(U21=0,0,SUMIF($D$6:$R$6,$X$2,D21:R21)/U21)</f>
        <v>0</v>
      </c>
      <c r="W21" s="199">
        <f t="shared" ref="W21" si="9">IF(U21=0,0,T21/U21)</f>
        <v>0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6058.09</v>
      </c>
      <c r="T22" s="70">
        <f t="shared" si="3"/>
        <v>12058.09</v>
      </c>
      <c r="U22" s="198">
        <v>10000</v>
      </c>
      <c r="V22" s="199">
        <f t="shared" si="4"/>
        <v>0.60580900000000004</v>
      </c>
      <c r="W22" s="199">
        <f t="shared" si="5"/>
        <v>1.2058089999999999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311.67</v>
      </c>
      <c r="T27" s="70">
        <f t="shared" si="3"/>
        <v>311.67</v>
      </c>
      <c r="U27" s="198">
        <v>8000</v>
      </c>
      <c r="V27" s="199">
        <f t="shared" si="4"/>
        <v>3.895875E-2</v>
      </c>
      <c r="W27" s="199">
        <f t="shared" si="5"/>
        <v>3.895875E-2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932.89</v>
      </c>
      <c r="T28" s="70">
        <f t="shared" si="3"/>
        <v>932.89</v>
      </c>
      <c r="U28" s="198">
        <v>15000</v>
      </c>
      <c r="V28" s="199">
        <f t="shared" si="4"/>
        <v>6.2192666666666667E-2</v>
      </c>
      <c r="W28" s="199">
        <f t="shared" si="5"/>
        <v>6.2192666666666667E-2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12000</v>
      </c>
      <c r="G29" s="70">
        <v>6000</v>
      </c>
      <c r="H29" s="70">
        <v>6000</v>
      </c>
      <c r="I29" s="70">
        <v>6000</v>
      </c>
      <c r="J29" s="70">
        <v>6000</v>
      </c>
      <c r="K29" s="70">
        <v>6000</v>
      </c>
      <c r="L29" s="70">
        <v>6000</v>
      </c>
      <c r="M29" s="70">
        <v>6000</v>
      </c>
      <c r="N29" s="70">
        <v>6000</v>
      </c>
      <c r="O29" s="70">
        <v>6000</v>
      </c>
      <c r="P29" s="70">
        <v>6000</v>
      </c>
      <c r="Q29" s="70">
        <v>0</v>
      </c>
      <c r="R29" s="198">
        <v>0</v>
      </c>
      <c r="S29" s="198">
        <f t="shared" si="2"/>
        <v>0</v>
      </c>
      <c r="T29" s="70">
        <f t="shared" si="3"/>
        <v>72000</v>
      </c>
      <c r="U29" s="198">
        <v>72000</v>
      </c>
      <c r="V29" s="199">
        <f t="shared" si="4"/>
        <v>0</v>
      </c>
      <c r="W29" s="199">
        <f t="shared" si="5"/>
        <v>1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0</v>
      </c>
      <c r="T30" s="70">
        <f t="shared" ref="T30" si="19">SUM(D30:R30)</f>
        <v>0</v>
      </c>
      <c r="U30" s="198">
        <v>4000.25</v>
      </c>
      <c r="V30" s="199">
        <f t="shared" ref="V30" si="20">IF(U30=0,0,SUMIF($D$6:$R$6,$X$2,D30:R30)/U30)</f>
        <v>0</v>
      </c>
      <c r="W30" s="199">
        <f t="shared" ref="W30" si="21">IF(U30=0,0,T30/U30)</f>
        <v>0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0</v>
      </c>
      <c r="T31" s="70">
        <f t="shared" si="3"/>
        <v>0</v>
      </c>
      <c r="U31" s="198">
        <v>5000</v>
      </c>
      <c r="V31" s="199">
        <f t="shared" si="4"/>
        <v>0</v>
      </c>
      <c r="W31" s="199">
        <f t="shared" si="5"/>
        <v>0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74.67</v>
      </c>
      <c r="T32" s="70">
        <f t="shared" si="3"/>
        <v>74.67</v>
      </c>
      <c r="U32" s="198">
        <v>5000</v>
      </c>
      <c r="V32" s="199">
        <f t="shared" si="4"/>
        <v>1.4934000000000001E-2</v>
      </c>
      <c r="W32" s="199">
        <f t="shared" si="5"/>
        <v>1.4934000000000001E-2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0</v>
      </c>
      <c r="T34" s="70">
        <f t="shared" si="3"/>
        <v>0</v>
      </c>
      <c r="U34" s="198">
        <v>1000</v>
      </c>
      <c r="V34" s="199">
        <f t="shared" si="4"/>
        <v>0</v>
      </c>
      <c r="W34" s="199">
        <f t="shared" si="5"/>
        <v>0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275.57</v>
      </c>
      <c r="T35" s="70">
        <f t="shared" si="3"/>
        <v>275.57</v>
      </c>
      <c r="U35" s="70">
        <v>10000</v>
      </c>
      <c r="V35" s="199">
        <f t="shared" si="4"/>
        <v>2.7556999999999998E-2</v>
      </c>
      <c r="W35" s="199">
        <f t="shared" si="5"/>
        <v>2.7556999999999998E-2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1332.98</v>
      </c>
      <c r="T36" s="70">
        <f t="shared" si="3"/>
        <v>1332.98</v>
      </c>
      <c r="U36" s="70">
        <v>410621</v>
      </c>
      <c r="V36" s="199">
        <f t="shared" si="4"/>
        <v>3.2462538447863114E-3</v>
      </c>
      <c r="W36" s="199">
        <f t="shared" si="5"/>
        <v>3.2462538447863114E-3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9666</v>
      </c>
      <c r="G38" s="70">
        <v>4833</v>
      </c>
      <c r="H38" s="70">
        <v>4833</v>
      </c>
      <c r="I38" s="70">
        <v>4833</v>
      </c>
      <c r="J38" s="70">
        <v>4833</v>
      </c>
      <c r="K38" s="70">
        <v>4833</v>
      </c>
      <c r="L38" s="70">
        <v>4833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0</v>
      </c>
      <c r="T39" s="70">
        <f t="shared" si="3"/>
        <v>0</v>
      </c>
      <c r="U39" s="70">
        <v>324259</v>
      </c>
      <c r="V39" s="199">
        <f t="shared" si="4"/>
        <v>0</v>
      </c>
      <c r="W39" s="199">
        <f t="shared" si="5"/>
        <v>0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44.09</v>
      </c>
      <c r="T43" s="70">
        <f t="shared" ref="T43:T46" si="31">SUM(D43:R43)</f>
        <v>44.09</v>
      </c>
      <c r="U43" s="198">
        <v>5000</v>
      </c>
      <c r="V43" s="199">
        <f t="shared" ref="V43:V46" si="32">IF(U43=0,0,SUMIF($D$6:$R$6,$X$2,D43:R43)/U43)</f>
        <v>8.8180000000000012E-3</v>
      </c>
      <c r="W43" s="199">
        <f t="shared" ref="W43:W46" si="33">IF(U43=0,0,T43/U43)</f>
        <v>8.8180000000000012E-3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0</v>
      </c>
      <c r="T44" s="70">
        <f t="shared" si="31"/>
        <v>0</v>
      </c>
      <c r="U44" s="198">
        <v>30000</v>
      </c>
      <c r="V44" s="199">
        <f t="shared" si="32"/>
        <v>0</v>
      </c>
      <c r="W44" s="199">
        <f t="shared" si="33"/>
        <v>0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158155.70000000001</v>
      </c>
      <c r="G48" s="201">
        <f t="shared" si="38"/>
        <v>147322.70000000001</v>
      </c>
      <c r="H48" s="201">
        <f t="shared" si="38"/>
        <v>147322.70000000001</v>
      </c>
      <c r="I48" s="201">
        <f t="shared" si="38"/>
        <v>147322.70000000001</v>
      </c>
      <c r="J48" s="201">
        <f t="shared" si="38"/>
        <v>147322.70000000001</v>
      </c>
      <c r="K48" s="201">
        <f t="shared" si="38"/>
        <v>147322.70000000001</v>
      </c>
      <c r="L48" s="201">
        <f t="shared" si="38"/>
        <v>147322.70000000001</v>
      </c>
      <c r="M48" s="201">
        <f t="shared" si="38"/>
        <v>147322.70000000001</v>
      </c>
      <c r="N48" s="201">
        <f t="shared" si="38"/>
        <v>153322.70000000001</v>
      </c>
      <c r="O48" s="201">
        <f t="shared" si="38"/>
        <v>147322.70000000001</v>
      </c>
      <c r="P48" s="201">
        <f t="shared" si="38"/>
        <v>71986.58</v>
      </c>
      <c r="Q48" s="201">
        <f t="shared" si="38"/>
        <v>0</v>
      </c>
      <c r="R48" s="201">
        <f t="shared" si="38"/>
        <v>0</v>
      </c>
      <c r="S48" s="201">
        <f t="shared" si="38"/>
        <v>207818.17000000004</v>
      </c>
      <c r="T48" s="91">
        <f t="shared" si="38"/>
        <v>1769864.7499999998</v>
      </c>
      <c r="U48" s="201">
        <f t="shared" si="38"/>
        <v>2842945.92</v>
      </c>
      <c r="V48" s="202">
        <f>SUMIF($D$6:$R$6,$X$2,D48:R48)/U48</f>
        <v>7.3099586080061618E-2</v>
      </c>
      <c r="W48" s="202">
        <f>T48/U48</f>
        <v>0.62254604899413624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2344.2999999999884</v>
      </c>
      <c r="G51" s="201">
        <f t="shared" si="39"/>
        <v>22677.299999999988</v>
      </c>
      <c r="H51" s="201">
        <f t="shared" si="39"/>
        <v>-14322.700000000012</v>
      </c>
      <c r="I51" s="201">
        <f t="shared" si="39"/>
        <v>-6322.7000000000116</v>
      </c>
      <c r="J51" s="201">
        <f t="shared" si="39"/>
        <v>70177.299999999988</v>
      </c>
      <c r="K51" s="201">
        <f t="shared" si="39"/>
        <v>21177.299999999988</v>
      </c>
      <c r="L51" s="201">
        <f t="shared" si="39"/>
        <v>14677.299999999988</v>
      </c>
      <c r="M51" s="201">
        <f t="shared" si="39"/>
        <v>39677.299999999988</v>
      </c>
      <c r="N51" s="201">
        <f t="shared" si="39"/>
        <v>61677.299999999988</v>
      </c>
      <c r="O51" s="201">
        <f t="shared" si="39"/>
        <v>142177.29999999999</v>
      </c>
      <c r="P51" s="201">
        <f t="shared" si="39"/>
        <v>-171986.58000000002</v>
      </c>
      <c r="Q51" s="201">
        <f t="shared" si="39"/>
        <v>-950000</v>
      </c>
      <c r="R51" s="201">
        <f t="shared" si="39"/>
        <v>0</v>
      </c>
      <c r="S51" s="201">
        <f t="shared" si="39"/>
        <v>1271170.3999999999</v>
      </c>
      <c r="T51" s="91">
        <f t="shared" si="39"/>
        <v>503123.82000000007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1273514.7</v>
      </c>
      <c r="G53" s="210">
        <f t="shared" si="40"/>
        <v>1296192</v>
      </c>
      <c r="H53" s="210">
        <f>G53+H51-H52</f>
        <v>1281869.3</v>
      </c>
      <c r="I53" s="210">
        <f>H53+I51-I52</f>
        <v>1275546.6000000001</v>
      </c>
      <c r="J53" s="210">
        <f>I53+J51-J52</f>
        <v>1345723.9000000001</v>
      </c>
      <c r="K53" s="210">
        <f t="shared" si="40"/>
        <v>1366901.2000000002</v>
      </c>
      <c r="L53" s="210">
        <f t="shared" si="40"/>
        <v>1381578.5000000002</v>
      </c>
      <c r="M53" s="210">
        <f t="shared" si="40"/>
        <v>1421255.8000000003</v>
      </c>
      <c r="N53" s="210">
        <f t="shared" si="40"/>
        <v>1482933.1000000003</v>
      </c>
      <c r="O53" s="210">
        <f t="shared" si="40"/>
        <v>1625110.4000000004</v>
      </c>
      <c r="P53" s="210">
        <f t="shared" si="40"/>
        <v>1453123.8200000003</v>
      </c>
      <c r="Q53" s="210">
        <f t="shared" si="40"/>
        <v>503123.8200000003</v>
      </c>
      <c r="R53" s="210">
        <f t="shared" si="40"/>
        <v>503123.8200000003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297</v>
      </c>
      <c r="N57" s="238"/>
      <c r="O57" s="170"/>
      <c r="P57" s="339" t="s">
        <v>266</v>
      </c>
      <c r="Q57" s="176" t="s">
        <v>129</v>
      </c>
      <c r="R57" s="340"/>
      <c r="S57" s="341"/>
      <c r="T57" s="174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163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163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349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297</v>
      </c>
      <c r="N60" s="364"/>
      <c r="O60" s="174"/>
      <c r="P60" s="343" t="s">
        <v>263</v>
      </c>
      <c r="Q60" s="176" t="s">
        <v>156</v>
      </c>
      <c r="R60" s="340"/>
      <c r="S60" s="341"/>
      <c r="T60" s="174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174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341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163" t="s">
        <v>299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337</v>
      </c>
      <c r="M64" s="78" t="s">
        <v>331</v>
      </c>
      <c r="N64" s="365"/>
      <c r="O64" s="181"/>
      <c r="P64" s="330" t="s">
        <v>270</v>
      </c>
      <c r="Q64" s="175" t="s">
        <v>157</v>
      </c>
      <c r="R64" s="340"/>
      <c r="S64" s="341"/>
      <c r="T64" s="163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163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338</v>
      </c>
      <c r="M66" s="78" t="s">
        <v>333</v>
      </c>
      <c r="N66" s="364"/>
      <c r="O66" s="164"/>
      <c r="P66" s="330" t="s">
        <v>272</v>
      </c>
      <c r="Q66" s="175" t="s">
        <v>157</v>
      </c>
      <c r="R66" s="340"/>
      <c r="S66" s="341"/>
      <c r="T66" s="163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342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174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317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339</v>
      </c>
      <c r="M68" s="78" t="s">
        <v>334</v>
      </c>
      <c r="N68" s="365"/>
      <c r="O68" s="164"/>
      <c r="P68" s="330" t="s">
        <v>273</v>
      </c>
      <c r="Q68" s="175" t="s">
        <v>162</v>
      </c>
      <c r="R68" s="340"/>
      <c r="S68" s="341"/>
      <c r="T68" s="163" t="s">
        <v>161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350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340</v>
      </c>
      <c r="M69" s="413" t="s">
        <v>343</v>
      </c>
      <c r="N69" s="240"/>
      <c r="O69" s="164"/>
      <c r="P69" s="330" t="s">
        <v>274</v>
      </c>
      <c r="Q69" s="175" t="s">
        <v>163</v>
      </c>
      <c r="R69" s="340"/>
      <c r="S69" s="341"/>
      <c r="T69" s="174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355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356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324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A44" sqref="A44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289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1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0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0</v>
      </c>
      <c r="G12" s="9">
        <f>IF(G$6="Actual",'9397 BOEE'!G12,0)</f>
        <v>0</v>
      </c>
      <c r="H12" s="9">
        <f>IF(H$6="Actual",'9397 BOEE'!H12,0)</f>
        <v>0</v>
      </c>
      <c r="I12" s="9">
        <f>IF(I$6="Actual",'9397 BOEE'!I12,0)</f>
        <v>0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351688.5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0</v>
      </c>
      <c r="G14" s="9">
        <f>IF(G$6="Actual",'9397 BOEE'!G14,0)</f>
        <v>0</v>
      </c>
      <c r="H14" s="9">
        <f>IF(H$6="Actual",'9397 BOEE'!H14,0)</f>
        <v>0</v>
      </c>
      <c r="I14" s="9">
        <f>IF(I$6="Actual",'9397 BOEE'!I14,0)</f>
        <v>0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98300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0</v>
      </c>
      <c r="G16" s="201">
        <f t="shared" si="2"/>
        <v>0</v>
      </c>
      <c r="H16" s="201">
        <f t="shared" si="2"/>
        <v>0</v>
      </c>
      <c r="I16" s="201">
        <f t="shared" si="2"/>
        <v>0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449988.5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" x14ac:dyDescent="0.2">
      <c r="A19" s="37" t="s">
        <v>222</v>
      </c>
      <c r="B19" s="37" t="s">
        <v>329</v>
      </c>
      <c r="D19" s="382">
        <v>53478.75</v>
      </c>
      <c r="E19" s="382">
        <v>57328.75</v>
      </c>
      <c r="F19" s="382">
        <v>0</v>
      </c>
      <c r="G19" s="382">
        <v>0</v>
      </c>
      <c r="H19" s="382">
        <v>0</v>
      </c>
      <c r="I19" s="382">
        <v>0</v>
      </c>
      <c r="J19" s="382">
        <v>0</v>
      </c>
      <c r="K19" s="382">
        <v>0</v>
      </c>
      <c r="L19" s="382">
        <v>0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110807.5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0</v>
      </c>
      <c r="G21" s="374">
        <f t="shared" si="4"/>
        <v>0</v>
      </c>
      <c r="H21" s="374">
        <f t="shared" si="4"/>
        <v>0</v>
      </c>
      <c r="I21" s="374">
        <f t="shared" si="4"/>
        <v>0</v>
      </c>
      <c r="J21" s="374">
        <f t="shared" si="4"/>
        <v>0</v>
      </c>
      <c r="K21" s="374">
        <f t="shared" si="4"/>
        <v>0</v>
      </c>
      <c r="L21" s="374">
        <f t="shared" si="4"/>
        <v>0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110807.5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0</v>
      </c>
      <c r="G23" s="297">
        <f t="shared" si="5"/>
        <v>0</v>
      </c>
      <c r="H23" s="297">
        <f t="shared" si="5"/>
        <v>0</v>
      </c>
      <c r="I23" s="297">
        <f t="shared" si="5"/>
        <v>0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560796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 t="str">
        <f>IF(F6="Actual",SUM($D23:F23)/SUM($D50:F50)-1,"")</f>
        <v/>
      </c>
      <c r="G25" s="333" t="str">
        <f>IF(G6="Actual",SUM($D23:G23)/SUM($D50:G50)-1,"")</f>
        <v/>
      </c>
      <c r="H25" s="333" t="str">
        <f>IF(H6="Actual",SUM($D23:H23)/SUM($D50:H50)-1,"")</f>
        <v/>
      </c>
      <c r="I25" s="333" t="str">
        <f>IF(I6="Actual",SUM($D23:I23)/SUM($D50:I50)-1,"")</f>
        <v/>
      </c>
      <c r="J25" s="333" t="str">
        <f>IF(J6="Actual",SUM($D23:J23)/SUM($D50:J50)-1,"")</f>
        <v/>
      </c>
      <c r="K25" s="352" t="str">
        <f>IF(K6="Actual",SUM($D23:K23)/SUM($D50:K50)-1,"")</f>
        <v/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1" t="s">
        <v>347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" x14ac:dyDescent="0.2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.5" thickBot="1" x14ac:dyDescent="0.3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G5" sqref="G5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351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352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332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0</v>
      </c>
      <c r="D8" s="9"/>
      <c r="E8" s="271">
        <f t="shared" ref="E8:E10" si="1">C8+D8</f>
        <v>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351688.5</v>
      </c>
      <c r="D9" s="9"/>
      <c r="E9" s="271">
        <f t="shared" si="1"/>
        <v>351688.5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98300</v>
      </c>
      <c r="D10" s="9"/>
      <c r="E10" s="271">
        <f t="shared" si="1"/>
        <v>98300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1478988.5699999998</v>
      </c>
      <c r="D11" s="281">
        <f t="shared" ref="D11" si="3">SUM(D6:D10)</f>
        <v>0</v>
      </c>
      <c r="E11" s="281">
        <f t="shared" si="2"/>
        <v>1478988.5699999998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449988.5</v>
      </c>
      <c r="D12" s="283">
        <f>SUM(D8:D10)</f>
        <v>0</v>
      </c>
      <c r="E12" s="283">
        <f>SUM(E8:E10)</f>
        <v>449988.5</v>
      </c>
      <c r="F12" s="283"/>
      <c r="G12" s="284">
        <f>SUM(G8:G10)</f>
        <v>2390500</v>
      </c>
      <c r="H12" s="285">
        <f>G12-E12</f>
        <v>1940511.5</v>
      </c>
      <c r="I12" s="274">
        <f>IF(G12=0,0,E12/G12)</f>
        <v>0.18824032629157081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198788.21</v>
      </c>
      <c r="D15" s="9"/>
      <c r="E15" s="271">
        <f t="shared" ref="E15:E42" si="4">C15+D15</f>
        <v>198788.21</v>
      </c>
      <c r="F15" s="271"/>
      <c r="G15" s="273">
        <f>'9397 BOEE'!U19</f>
        <v>1774366</v>
      </c>
      <c r="H15" s="9">
        <f>G15-E15</f>
        <v>1575577.79</v>
      </c>
      <c r="I15" s="274">
        <f t="shared" ref="I15:I43" si="5">IF(G15=0,0,E15/G15)</f>
        <v>0.11203337417421208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0</v>
      </c>
      <c r="D16" s="9"/>
      <c r="E16" s="271">
        <f t="shared" si="4"/>
        <v>0</v>
      </c>
      <c r="F16" s="271"/>
      <c r="G16" s="273">
        <f>'9397 BOEE'!U20</f>
        <v>15000</v>
      </c>
      <c r="H16" s="9">
        <f t="shared" ref="H16:H42" si="6">G16-D16-C16</f>
        <v>15000</v>
      </c>
      <c r="I16" s="274">
        <f t="shared" si="5"/>
        <v>0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0</v>
      </c>
      <c r="D17" s="9"/>
      <c r="E17" s="271">
        <f t="shared" si="4"/>
        <v>0</v>
      </c>
      <c r="F17" s="271"/>
      <c r="G17" s="273">
        <f>'9397 BOEE'!U21</f>
        <v>20000</v>
      </c>
      <c r="H17" s="9">
        <f t="shared" si="6"/>
        <v>20000</v>
      </c>
      <c r="I17" s="274">
        <f t="shared" si="5"/>
        <v>0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6058.09</v>
      </c>
      <c r="D18" s="9"/>
      <c r="E18" s="271">
        <f t="shared" si="4"/>
        <v>6058.09</v>
      </c>
      <c r="F18" s="271"/>
      <c r="G18" s="273">
        <f>'9397 BOEE'!U22</f>
        <v>10000</v>
      </c>
      <c r="H18" s="9">
        <f t="shared" si="6"/>
        <v>3941.91</v>
      </c>
      <c r="I18" s="274">
        <f t="shared" si="5"/>
        <v>0.60580900000000004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311.67</v>
      </c>
      <c r="D23" s="9"/>
      <c r="E23" s="271">
        <f t="shared" si="4"/>
        <v>311.67</v>
      </c>
      <c r="F23" s="271"/>
      <c r="G23" s="273">
        <f>'9397 BOEE'!U27</f>
        <v>8000</v>
      </c>
      <c r="H23" s="9">
        <f t="shared" si="6"/>
        <v>7688.33</v>
      </c>
      <c r="I23" s="274">
        <f t="shared" si="5"/>
        <v>3.895875E-2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932.89</v>
      </c>
      <c r="D24" s="9"/>
      <c r="E24" s="271">
        <f t="shared" si="4"/>
        <v>932.89</v>
      </c>
      <c r="F24" s="271"/>
      <c r="G24" s="273">
        <f>'9397 BOEE'!U28</f>
        <v>15000</v>
      </c>
      <c r="H24" s="9">
        <f t="shared" si="6"/>
        <v>14067.11</v>
      </c>
      <c r="I24" s="274">
        <f t="shared" si="5"/>
        <v>6.2192666666666667E-2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0</v>
      </c>
      <c r="D25" s="9"/>
      <c r="E25" s="271">
        <f t="shared" si="4"/>
        <v>0</v>
      </c>
      <c r="F25" s="271"/>
      <c r="G25" s="273">
        <f>'9397 BOEE'!U29</f>
        <v>72000</v>
      </c>
      <c r="H25" s="9">
        <f t="shared" si="6"/>
        <v>72000</v>
      </c>
      <c r="I25" s="274">
        <f t="shared" si="5"/>
        <v>0</v>
      </c>
    </row>
    <row r="26" spans="1:9" x14ac:dyDescent="0.2">
      <c r="A26" s="267" t="s">
        <v>236</v>
      </c>
      <c r="B26" s="266" t="s">
        <v>237</v>
      </c>
      <c r="C26" s="9">
        <f>'9397 BOEE'!S30</f>
        <v>0</v>
      </c>
      <c r="D26" s="9"/>
      <c r="E26" s="271">
        <f t="shared" ref="E26" si="11">C26+D26</f>
        <v>0</v>
      </c>
      <c r="F26" s="271"/>
      <c r="G26" s="273">
        <f>'9397 BOEE'!U30</f>
        <v>4000.25</v>
      </c>
      <c r="H26" s="9">
        <f t="shared" ref="H26" si="12">G26-D26-C26</f>
        <v>4000.25</v>
      </c>
      <c r="I26" s="274">
        <f t="shared" si="5"/>
        <v>0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0</v>
      </c>
      <c r="D27" s="9"/>
      <c r="E27" s="271">
        <f t="shared" si="4"/>
        <v>0</v>
      </c>
      <c r="F27" s="271"/>
      <c r="G27" s="273">
        <f>'9397 BOEE'!U31</f>
        <v>5000</v>
      </c>
      <c r="H27" s="9">
        <f t="shared" si="6"/>
        <v>5000</v>
      </c>
      <c r="I27" s="274">
        <f t="shared" si="5"/>
        <v>0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74.67</v>
      </c>
      <c r="D28" s="9"/>
      <c r="E28" s="271">
        <f t="shared" si="4"/>
        <v>74.67</v>
      </c>
      <c r="F28" s="271"/>
      <c r="G28" s="273">
        <f>'9397 BOEE'!U32</f>
        <v>5000</v>
      </c>
      <c r="H28" s="9">
        <f t="shared" si="6"/>
        <v>4925.33</v>
      </c>
      <c r="I28" s="274">
        <f t="shared" si="5"/>
        <v>1.4934000000000001E-2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0</v>
      </c>
      <c r="D30" s="9"/>
      <c r="E30" s="271">
        <f t="shared" si="4"/>
        <v>0</v>
      </c>
      <c r="F30" s="271"/>
      <c r="G30" s="273">
        <f>'9397 BOEE'!U34</f>
        <v>1000</v>
      </c>
      <c r="H30" s="9">
        <f t="shared" si="6"/>
        <v>1000</v>
      </c>
      <c r="I30" s="274">
        <f t="shared" si="5"/>
        <v>0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275.57</v>
      </c>
      <c r="D31" s="9"/>
      <c r="E31" s="271">
        <f t="shared" si="4"/>
        <v>275.57</v>
      </c>
      <c r="F31" s="271"/>
      <c r="G31" s="273">
        <f>'9397 BOEE'!U35</f>
        <v>10000</v>
      </c>
      <c r="H31" s="9">
        <f t="shared" si="6"/>
        <v>9724.43</v>
      </c>
      <c r="I31" s="274">
        <f t="shared" si="5"/>
        <v>2.7556999999999998E-2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1332.98</v>
      </c>
      <c r="D32" s="9"/>
      <c r="E32" s="271">
        <f t="shared" si="4"/>
        <v>1332.98</v>
      </c>
      <c r="F32" s="271"/>
      <c r="G32" s="273">
        <f>'9397 BOEE'!U36</f>
        <v>410621</v>
      </c>
      <c r="H32" s="9">
        <f t="shared" si="6"/>
        <v>409288.02</v>
      </c>
      <c r="I32" s="274">
        <f t="shared" si="5"/>
        <v>3.2462538447863114E-3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0</v>
      </c>
      <c r="D35" s="9"/>
      <c r="E35" s="271">
        <f t="shared" si="4"/>
        <v>0</v>
      </c>
      <c r="F35" s="271"/>
      <c r="G35" s="273">
        <f>'9397 BOEE'!U39</f>
        <v>324259</v>
      </c>
      <c r="H35" s="9">
        <f t="shared" si="6"/>
        <v>324259</v>
      </c>
      <c r="I35" s="274">
        <f t="shared" si="5"/>
        <v>0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44.09</v>
      </c>
      <c r="D39" s="9"/>
      <c r="E39" s="271">
        <f t="shared" si="4"/>
        <v>44.09</v>
      </c>
      <c r="F39" s="271"/>
      <c r="G39" s="273">
        <f>'9397 BOEE'!U43</f>
        <v>5000</v>
      </c>
      <c r="H39" s="9">
        <f t="shared" si="6"/>
        <v>4955.91</v>
      </c>
      <c r="I39" s="274">
        <f t="shared" si="5"/>
        <v>8.8180000000000012E-3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0</v>
      </c>
      <c r="D40" s="9"/>
      <c r="E40" s="271">
        <f t="shared" si="4"/>
        <v>0</v>
      </c>
      <c r="F40" s="271"/>
      <c r="G40" s="273">
        <f>'9397 BOEE'!U44</f>
        <v>30000</v>
      </c>
      <c r="H40" s="9">
        <f t="shared" si="6"/>
        <v>30000</v>
      </c>
      <c r="I40" s="274">
        <f t="shared" si="5"/>
        <v>0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192</v>
      </c>
      <c r="C43" s="280">
        <f>SUM(C15:C42)</f>
        <v>207818.17000000004</v>
      </c>
      <c r="D43" s="280">
        <f>SUM(D15:D42)</f>
        <v>0</v>
      </c>
      <c r="E43" s="280">
        <f>SUM(E15:E42)</f>
        <v>207818.17000000004</v>
      </c>
      <c r="F43" s="280"/>
      <c r="G43" s="280">
        <f>SUM(G15:G42)</f>
        <v>2842945.92</v>
      </c>
      <c r="H43" s="280">
        <f>SUM(H15:H42)</f>
        <v>2635127.75</v>
      </c>
      <c r="I43" s="274">
        <f t="shared" si="5"/>
        <v>7.3099586080061646E-2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242170.32999999996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1271170.3999999999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353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351688.5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98300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1478988.5699999998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449988.5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198788.21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198788.21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9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0</v>
      </c>
      <c r="F16">
        <v>2</v>
      </c>
      <c r="G16" s="308"/>
      <c r="H16" s="307" t="str">
        <f t="shared" si="2"/>
        <v>Office Supplies</v>
      </c>
      <c r="I16" s="312">
        <f t="shared" si="3"/>
        <v>6058.09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9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0</v>
      </c>
      <c r="F17">
        <v>3</v>
      </c>
      <c r="G17" s="308"/>
      <c r="H17" s="307" t="str">
        <f t="shared" si="2"/>
        <v>ITD Reimbursements</v>
      </c>
      <c r="I17" s="312">
        <f t="shared" si="3"/>
        <v>1332.98</v>
      </c>
      <c r="J17" s="303"/>
      <c r="K17" s="14"/>
      <c r="L17" s="14"/>
      <c r="M17" s="14"/>
      <c r="N17" s="14"/>
    </row>
    <row r="18" spans="1:14" x14ac:dyDescent="0.2">
      <c r="A18" s="308">
        <f t="shared" si="1"/>
        <v>2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6058.09</v>
      </c>
      <c r="F18">
        <v>4</v>
      </c>
      <c r="G18" s="308"/>
      <c r="H18" s="307" t="str">
        <f t="shared" si="2"/>
        <v>Communications</v>
      </c>
      <c r="I18" s="312">
        <f t="shared" si="3"/>
        <v>932.89</v>
      </c>
      <c r="J18" s="303"/>
      <c r="K18" s="14"/>
      <c r="L18" s="14"/>
      <c r="M18" s="14"/>
      <c r="N18" s="14"/>
    </row>
    <row r="19" spans="1:14" x14ac:dyDescent="0.2">
      <c r="A19" s="308">
        <f t="shared" si="1"/>
        <v>9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Postage</v>
      </c>
      <c r="I19" s="312">
        <f t="shared" si="3"/>
        <v>311.67</v>
      </c>
      <c r="J19" s="303"/>
      <c r="K19" s="14"/>
      <c r="L19" s="14"/>
      <c r="M19" s="14"/>
      <c r="N19" s="14"/>
    </row>
    <row r="20" spans="1:14" x14ac:dyDescent="0.2">
      <c r="A20" s="308">
        <f t="shared" si="1"/>
        <v>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Reimbursements To Other Agency</v>
      </c>
      <c r="I20" s="312">
        <f t="shared" si="3"/>
        <v>275.57</v>
      </c>
      <c r="J20" s="303"/>
      <c r="K20" s="14"/>
      <c r="L20" s="14"/>
      <c r="M20" s="14"/>
      <c r="N20" s="14"/>
    </row>
    <row r="21" spans="1:14" x14ac:dyDescent="0.2">
      <c r="A21" s="308">
        <f t="shared" si="1"/>
        <v>9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Outside Services</v>
      </c>
      <c r="I21" s="312">
        <f t="shared" si="3"/>
        <v>74.67</v>
      </c>
      <c r="J21" s="303"/>
      <c r="K21" s="14"/>
      <c r="L21" s="14"/>
      <c r="M21" s="14"/>
      <c r="N21" s="14"/>
    </row>
    <row r="22" spans="1:14" x14ac:dyDescent="0.2">
      <c r="A22" s="308">
        <f t="shared" si="1"/>
        <v>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IT Equipment &amp; Software</v>
      </c>
      <c r="I22" s="312">
        <f t="shared" si="3"/>
        <v>44.09</v>
      </c>
      <c r="J22" s="303"/>
      <c r="K22" s="14"/>
      <c r="L22" s="14"/>
      <c r="M22" s="14"/>
      <c r="N22" s="14"/>
    </row>
    <row r="23" spans="1:14" x14ac:dyDescent="0.2">
      <c r="A23" s="308">
        <f t="shared" si="1"/>
        <v>5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311.67</v>
      </c>
      <c r="G23" s="308"/>
      <c r="H23" s="307" t="s">
        <v>248</v>
      </c>
      <c r="I23" s="312">
        <f>I25-SUM(I15:I22)</f>
        <v>0</v>
      </c>
      <c r="J23" s="303"/>
      <c r="K23" s="14"/>
      <c r="L23" s="14"/>
      <c r="M23" s="14"/>
      <c r="N23" s="14"/>
    </row>
    <row r="24" spans="1:14" x14ac:dyDescent="0.2">
      <c r="A24" s="308">
        <f t="shared" si="1"/>
        <v>4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932.89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9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0</v>
      </c>
      <c r="G25" s="308"/>
      <c r="H25" s="307" t="s">
        <v>192</v>
      </c>
      <c r="I25" s="312">
        <f>D43</f>
        <v>207818.17000000004</v>
      </c>
      <c r="J25" s="303"/>
      <c r="K25" s="14"/>
      <c r="L25" s="14"/>
      <c r="M25" s="14"/>
      <c r="N25" s="14"/>
    </row>
    <row r="26" spans="1:14" x14ac:dyDescent="0.2">
      <c r="A26" s="308">
        <f t="shared" si="1"/>
        <v>9</v>
      </c>
      <c r="B26" s="267" t="s">
        <v>236</v>
      </c>
      <c r="C26" s="266" t="s">
        <v>237</v>
      </c>
      <c r="D26" s="9">
        <f>'Obligations vs Bgt'!E26</f>
        <v>0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9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0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7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74.67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9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0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6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275.57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3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1332.98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9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0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8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44.09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9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0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9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9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207818.17000000004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242170.32999999996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1271170.3999999999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8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318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</v>
      </c>
      <c r="W3" s="48"/>
      <c r="X3" s="1"/>
      <c r="Y3" s="1"/>
    </row>
    <row r="4" spans="1:25" ht="15.75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346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359</v>
      </c>
      <c r="E6" s="69" t="s">
        <v>359</v>
      </c>
      <c r="F6" s="69" t="s">
        <v>1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328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24933</v>
      </c>
      <c r="G14" s="70">
        <v>16622</v>
      </c>
      <c r="H14" s="70">
        <v>16622</v>
      </c>
      <c r="I14" s="70">
        <v>16622</v>
      </c>
      <c r="J14" s="70">
        <v>16622</v>
      </c>
      <c r="K14" s="70">
        <v>16622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0</v>
      </c>
      <c r="T14" s="70">
        <f t="shared" ref="T14:T17" si="2">SUM(D14:R14)</f>
        <v>216183.1</v>
      </c>
      <c r="U14" s="70">
        <v>216099</v>
      </c>
      <c r="V14" s="71">
        <f>IF(U14=0,0,SUMIF($D$6:$R$6,$X$2,D14:R14)/U14)</f>
        <v>0</v>
      </c>
      <c r="W14" s="199">
        <f>IF(U14=0,0,T14/U14)</f>
        <v>1.0003891734806731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4</v>
      </c>
      <c r="G17" s="70">
        <v>4</v>
      </c>
      <c r="H17" s="70">
        <v>4</v>
      </c>
      <c r="I17" s="70">
        <v>4</v>
      </c>
      <c r="J17" s="70">
        <v>4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0</v>
      </c>
      <c r="T17" s="70">
        <f t="shared" si="2"/>
        <v>51.5</v>
      </c>
      <c r="U17" s="70">
        <v>48</v>
      </c>
      <c r="V17" s="71">
        <f t="shared" si="3"/>
        <v>0</v>
      </c>
      <c r="W17" s="199">
        <f t="shared" si="4"/>
        <v>1.0729166666666667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24937</v>
      </c>
      <c r="G19" s="91">
        <f t="shared" si="5"/>
        <v>16626</v>
      </c>
      <c r="H19" s="91">
        <f t="shared" si="5"/>
        <v>16626</v>
      </c>
      <c r="I19" s="91">
        <f t="shared" si="5"/>
        <v>16626</v>
      </c>
      <c r="J19" s="91">
        <f t="shared" si="5"/>
        <v>16626</v>
      </c>
      <c r="K19" s="91">
        <f t="shared" si="5"/>
        <v>16626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0</v>
      </c>
      <c r="T19" s="91">
        <f t="shared" si="5"/>
        <v>216234.6</v>
      </c>
      <c r="U19" s="91">
        <f t="shared" si="5"/>
        <v>219647</v>
      </c>
      <c r="V19" s="92">
        <f>SUMIF($D$6:$R$6,$X$2,D19:R19)/U19</f>
        <v>0</v>
      </c>
      <c r="W19" s="202">
        <f>T19/U19</f>
        <v>0.9844641629523736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-24937</v>
      </c>
      <c r="G22" s="91">
        <f t="shared" si="6"/>
        <v>-16626</v>
      </c>
      <c r="H22" s="91">
        <f t="shared" si="6"/>
        <v>-16626</v>
      </c>
      <c r="I22" s="91">
        <f t="shared" si="6"/>
        <v>-16626</v>
      </c>
      <c r="J22" s="91">
        <f t="shared" si="6"/>
        <v>-16626</v>
      </c>
      <c r="K22" s="91">
        <f t="shared" si="6"/>
        <v>-16626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0</v>
      </c>
      <c r="T22" s="91">
        <f t="shared" si="6"/>
        <v>-216234.6</v>
      </c>
      <c r="U22" s="91">
        <f t="shared" si="6"/>
        <v>0</v>
      </c>
      <c r="V22" s="406"/>
      <c r="W22" s="209"/>
      <c r="X22" s="184"/>
      <c r="Y22" s="14"/>
    </row>
    <row r="23" spans="1:25" ht="15.75" x14ac:dyDescent="0.2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-51129.599999999999</v>
      </c>
      <c r="G24" s="130">
        <f t="shared" si="7"/>
        <v>-67755.600000000006</v>
      </c>
      <c r="H24" s="130">
        <f>G24+H22-H23</f>
        <v>-84381.6</v>
      </c>
      <c r="I24" s="130">
        <f>H24+I22-I23</f>
        <v>-101007.6</v>
      </c>
      <c r="J24" s="130">
        <f>I24+J22-J23</f>
        <v>-117633.60000000001</v>
      </c>
      <c r="K24" s="130">
        <f t="shared" si="7"/>
        <v>-134259.6</v>
      </c>
      <c r="L24" s="130">
        <f t="shared" si="7"/>
        <v>-159196.6</v>
      </c>
      <c r="M24" s="130">
        <f t="shared" si="7"/>
        <v>-175822.6</v>
      </c>
      <c r="N24" s="130">
        <f t="shared" si="7"/>
        <v>-192448.6</v>
      </c>
      <c r="O24" s="130">
        <f t="shared" si="7"/>
        <v>-209074.6</v>
      </c>
      <c r="P24" s="130">
        <f t="shared" si="7"/>
        <v>-216234.6</v>
      </c>
      <c r="Q24" s="130">
        <f t="shared" si="7"/>
        <v>-216234.6</v>
      </c>
      <c r="R24" s="130">
        <f t="shared" si="7"/>
        <v>-216234.6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36" x14ac:dyDescent="0.25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25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320</v>
      </c>
      <c r="Q27" s="176" t="s">
        <v>293</v>
      </c>
      <c r="R27" s="340"/>
      <c r="S27" s="341"/>
      <c r="T27" s="174" t="s">
        <v>319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323</v>
      </c>
      <c r="Q28" s="176" t="s">
        <v>293</v>
      </c>
      <c r="R28" s="340"/>
      <c r="S28" s="341"/>
      <c r="T28" s="366" t="s">
        <v>336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25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354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25">
      <c r="A32" s="171">
        <v>202</v>
      </c>
      <c r="B32" s="75" t="s">
        <v>321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322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330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324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  <pageSetup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279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2025-09-12 BOEE Tab E</dc:title>
  <dc:creator>Randall.Lagerblade@iowa.gov</dc:creator>
  <cp:lastModifiedBy>Albers, Lisa [IDOE]</cp:lastModifiedBy>
  <cp:lastPrinted>2025-09-05T17:31:24Z</cp:lastPrinted>
  <dcterms:created xsi:type="dcterms:W3CDTF">2015-04-28T12:49:55Z</dcterms:created>
  <dcterms:modified xsi:type="dcterms:W3CDTF">2025-09-07T17:48:43Z</dcterms:modified>
</cp:coreProperties>
</file>