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FCE9FBFD-CC42-49A9-8538-1BF2B4E55C0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N25" i="9" l="1"/>
  <c r="O25" i="9"/>
  <c r="P25" i="9"/>
  <c r="D19" i="6"/>
  <c r="Q16" i="3"/>
  <c r="P16" i="3"/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Q12" i="9"/>
  <c r="R12" i="9"/>
  <c r="E14" i="9"/>
  <c r="F14" i="9"/>
  <c r="G14" i="9"/>
  <c r="H14" i="9"/>
  <c r="I14" i="9"/>
  <c r="J14" i="9"/>
  <c r="K14" i="9"/>
  <c r="L14" i="9"/>
  <c r="M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M25" i="9" l="1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20" i="6"/>
</calcChain>
</file>

<file path=xl/sharedStrings.xml><?xml version="1.0" encoding="utf-8"?>
<sst xmlns="http://schemas.openxmlformats.org/spreadsheetml/2006/main" count="985" uniqueCount="374">
  <si>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</si>
  <si>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</si>
  <si>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</si>
  <si>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</si>
  <si>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</si>
  <si>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</si>
  <si>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</si>
  <si>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</si>
  <si>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</si>
  <si>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</si>
  <si>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</si>
  <si>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</si>
  <si>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</si>
  <si>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</si>
  <si>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</si>
  <si>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</si>
  <si>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</si>
  <si>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</si>
  <si>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</si>
  <si>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</si>
  <si>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</si>
  <si>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</si>
  <si>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</si>
  <si>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</si>
  <si>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</si>
  <si>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</si>
  <si>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</si>
  <si>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</si>
  <si>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</si>
  <si>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</si>
  <si>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</si>
  <si>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</si>
  <si>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</si>
  <si>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</si>
  <si>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</si>
  <si>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</si>
  <si>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</si>
  <si>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</si>
  <si>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</si>
  <si>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</si>
  <si>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</si>
  <si>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</si>
  <si>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</si>
  <si>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</si>
  <si>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</si>
  <si>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</si>
  <si>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</si>
  <si>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</si>
  <si>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</si>
  <si>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</si>
  <si>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</si>
  <si>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</si>
  <si>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</si>
  <si>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</si>
  <si>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</si>
  <si>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</si>
  <si>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</si>
  <si>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</si>
  <si>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</si>
  <si>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</si>
  <si>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</si>
  <si>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</si>
  <si>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</si>
  <si>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</si>
  <si>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</si>
  <si>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</si>
  <si>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</si>
  <si>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</si>
  <si>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</si>
  <si>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</si>
  <si>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</si>
  <si>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</si>
  <si>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</si>
  <si>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</si>
  <si>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</si>
  <si>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</si>
  <si>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</si>
  <si>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</si>
  <si>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</si>
  <si>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</si>
  <si>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</si>
  <si>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</si>
  <si>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</si>
  <si>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</si>
  <si>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</si>
  <si>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</si>
  <si>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</si>
  <si>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</si>
  <si>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</si>
  <si>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</si>
  <si>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</si>
  <si>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</si>
  <si>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</si>
  <si>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</si>
  <si>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</si>
  <si>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</si>
  <si>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</si>
  <si>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</si>
  <si>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</si>
  <si>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</si>
  <si>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</si>
  <si>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</si>
  <si>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</si>
  <si>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</si>
  <si>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</si>
  <si>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</si>
  <si>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</si>
  <si>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</si>
  <si>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</si>
  <si>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</si>
  <si>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</si>
  <si>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</si>
  <si>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</si>
  <si>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</si>
  <si>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</si>
  <si>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</si>
  <si>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</si>
  <si>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</si>
  <si>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</si>
  <si>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</si>
  <si>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</si>
  <si>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</si>
  <si>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</si>
  <si>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</si>
  <si>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</si>
  <si>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</si>
  <si>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</si>
  <si>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</si>
  <si>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</si>
  <si>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</si>
  <si>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</si>
  <si>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</si>
  <si>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</si>
  <si>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</si>
  <si>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</si>
  <si>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</si>
  <si>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</si>
  <si>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</si>
  <si>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</si>
  <si>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</si>
  <si>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</si>
  <si>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</si>
  <si>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</si>
  <si>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</si>
  <si>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</si>
  <si>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</si>
  <si>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</si>
  <si>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</si>
  <si>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</si>
  <si>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</si>
  <si>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</si>
  <si>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</si>
  <si>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</si>
  <si>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</si>
  <si>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</si>
  <si>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</si>
  <si>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</si>
  <si>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</si>
  <si>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</si>
  <si>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</si>
  <si>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</si>
  <si>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</si>
  <si>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</si>
  <si>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</si>
  <si>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</si>
  <si>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</si>
  <si>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</si>
  <si>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</si>
  <si>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</si>
  <si>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</si>
  <si>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</si>
  <si>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</si>
  <si>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</si>
  <si>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</si>
  <si>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</si>
  <si>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</si>
  <si>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</si>
  <si>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</si>
  <si>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</si>
  <si>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</si>
  <si>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</si>
  <si>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</si>
  <si>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</si>
  <si>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</si>
  <si>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</si>
  <si>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</si>
  <si>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</si>
  <si>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</si>
  <si>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</si>
  <si>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</si>
  <si>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</si>
  <si>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</si>
  <si>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</si>
  <si>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</si>
  <si>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</si>
  <si>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</si>
  <si>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</si>
  <si>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</si>
  <si>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</si>
  <si>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</si>
  <si>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</si>
  <si>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</si>
  <si>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</si>
  <si>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</si>
  <si>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</si>
  <si>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</si>
  <si>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</si>
  <si>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</si>
  <si>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</si>
  <si>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</si>
  <si>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</si>
  <si>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</si>
  <si>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</si>
  <si>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</si>
  <si>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</si>
  <si>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</si>
  <si>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</si>
  <si>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</si>
  <si>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</si>
  <si>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</si>
  <si>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</si>
  <si>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</si>
  <si>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</si>
  <si>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</si>
  <si>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</si>
  <si>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</si>
  <si>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</si>
  <si>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</si>
  <si>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</si>
  <si>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</si>
  <si>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</si>
  <si>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</si>
  <si>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</si>
  <si>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</si>
  <si>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</si>
  <si>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</si>
  <si>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</si>
  <si>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</si>
  <si>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</si>
  <si>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</si>
  <si>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</si>
  <si>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</si>
  <si>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</si>
  <si>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</si>
  <si>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</si>
  <si>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</si>
  <si>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</si>
  <si>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</si>
  <si>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</si>
  <si>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</si>
  <si>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</si>
  <si>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</si>
  <si>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</si>
  <si>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</si>
  <si>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</si>
  <si>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</si>
  <si>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</si>
  <si>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</si>
  <si>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</si>
  <si>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</si>
  <si>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</si>
  <si>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</si>
  <si>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</si>
  <si>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</si>
  <si>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</si>
  <si>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</si>
  <si>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</si>
  <si>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</si>
  <si>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</si>
  <si>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</si>
  <si>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</si>
  <si>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</si>
  <si>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</si>
  <si>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</si>
  <si>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</si>
  <si>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</si>
  <si>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</si>
  <si>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</si>
  <si>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</si>
  <si>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</si>
  <si>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</si>
  <si>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</si>
  <si>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</si>
  <si>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</si>
  <si>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</si>
  <si>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</si>
  <si>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</si>
  <si>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</si>
  <si>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</si>
  <si>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</si>
  <si>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</si>
  <si>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</si>
  <si>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</si>
  <si>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</si>
  <si>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</si>
  <si>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</si>
  <si>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</si>
  <si>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</si>
  <si>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</si>
  <si>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</si>
  <si>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</si>
  <si>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</si>
  <si>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</si>
  <si>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</si>
  <si>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</si>
  <si>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</si>
  <si>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</si>
  <si>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</si>
  <si>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</si>
  <si>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</si>
  <si>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</si>
  <si>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</si>
  <si>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</si>
  <si>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</si>
  <si>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</si>
  <si>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</si>
  <si>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</si>
  <si>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</si>
  <si>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</si>
  <si>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</si>
  <si>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</si>
  <si>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</si>
  <si>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</si>
  <si>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</si>
  <si>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</si>
  <si>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</si>
  <si>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</si>
  <si>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</si>
  <si>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</si>
  <si>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</si>
  <si>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</si>
  <si>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</si>
  <si>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</si>
  <si>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</si>
  <si>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</si>
  <si>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</si>
  <si>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</si>
  <si>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</si>
  <si>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</si>
  <si>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</si>
  <si>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</si>
  <si>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</si>
  <si>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</si>
  <si>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</si>
  <si>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</si>
  <si>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</si>
  <si>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</si>
  <si>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</si>
  <si>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</si>
  <si>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</si>
  <si>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</si>
  <si>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</si>
  <si>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</si>
  <si>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</si>
  <si>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</si>
  <si>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</si>
  <si>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</si>
  <si>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</si>
  <si>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</si>
  <si>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</si>
  <si>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April have 3 payroll runs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</si>
  <si>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runs but the pay days are reflected in November and May.</t>
    </r>
  </si>
  <si>
    <t>139189 14000</t>
  </si>
  <si>
    <t>139185 14000</t>
  </si>
  <si>
    <t>139187 14000</t>
  </si>
  <si>
    <t>104466 90712</t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</si>
  <si>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April, will pay next year's National Association of State Directors membership (approx. $6,000).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</si>
  <si>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pd quarterly by DE initially and then corrected (approx $960/qtr)</t>
    </r>
  </si>
  <si>
    <t>Eric A St. Clair- DOE</t>
  </si>
  <si>
    <t>Actuals</t>
  </si>
  <si>
    <r>
      <rPr>
        <b/>
        <sz val="14"/>
        <rFont val="Arial"/>
        <family val="2"/>
      </rPr>
      <t>Attorney General's Office</t>
    </r>
    <r>
      <rPr>
        <sz val="14"/>
        <rFont val="Arial"/>
        <family val="2"/>
      </rPr>
      <t>-  Contract not signed until June 2025.  Expenses shown in HO13.</t>
    </r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</si>
  <si>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hsty &amp; bkgd cks (May &amp; June to be pd in HO13), DIA services &amp; IDC up to 6/13 taken all in June 2025</t>
    </r>
  </si>
  <si>
    <t>Period 13- July 2025 Hold Open</t>
  </si>
  <si>
    <t>$100,000 Carry Forward into FY26 completed 7/1/25.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</si>
</sst>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2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3" fillId="0" borderId="0" xfId="0" applyFont="1"/>
    <xf numFmtId="49" fontId="44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5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6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31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120010</c:v>
                </c:pt>
                <c:pt idx="9">
                  <c:v>141172</c:v>
                </c:pt>
                <c:pt idx="10">
                  <c:v>167985.75</c:v>
                </c:pt>
                <c:pt idx="11">
                  <c:v>230383.5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41883.75</c:v>
                </c:pt>
                <c:pt idx="9">
                  <c:v>45897</c:v>
                </c:pt>
                <c:pt idx="10">
                  <c:v>47795</c:v>
                </c:pt>
                <c:pt idx="11">
                  <c:v>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1854036.3399999999</c:v>
                </c:pt>
                <c:pt idx="1">
                  <c:v>13192.03</c:v>
                </c:pt>
                <c:pt idx="2">
                  <c:v>1275.5899999999999</c:v>
                </c:pt>
                <c:pt idx="3">
                  <c:v>2421.0599999999995</c:v>
                </c:pt>
                <c:pt idx="4">
                  <c:v>0</c:v>
                </c:pt>
                <c:pt idx="5">
                  <c:v>0</c:v>
                </c:pt>
                <c:pt idx="6">
                  <c:v>495.25</c:v>
                </c:pt>
                <c:pt idx="7">
                  <c:v>0</c:v>
                </c:pt>
                <c:pt idx="8">
                  <c:v>4862.4500000000007</c:v>
                </c:pt>
                <c:pt idx="9">
                  <c:v>18161.18</c:v>
                </c:pt>
                <c:pt idx="10">
                  <c:v>63000</c:v>
                </c:pt>
                <c:pt idx="11">
                  <c:v>2719.4399999999996</c:v>
                </c:pt>
                <c:pt idx="12">
                  <c:v>2668.36</c:v>
                </c:pt>
                <c:pt idx="13">
                  <c:v>4930.8500000000004</c:v>
                </c:pt>
                <c:pt idx="14">
                  <c:v>0</c:v>
                </c:pt>
                <c:pt idx="15">
                  <c:v>330.13</c:v>
                </c:pt>
                <c:pt idx="16">
                  <c:v>10368.209999999997</c:v>
                </c:pt>
                <c:pt idx="17">
                  <c:v>209561.43</c:v>
                </c:pt>
                <c:pt idx="18">
                  <c:v>42289.5</c:v>
                </c:pt>
                <c:pt idx="19">
                  <c:v>453154.21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40468.53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19985477051282832"/>
          <c:y val="1.820557595141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1.5278871429318283E-2"/>
                  <c:y val="-5.29463427738915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3.8643230677490252E-2"/>
                  <c:y val="-4.4739550754161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Gov Transfer Other Agencies</c:v>
                </c:pt>
                <c:pt idx="2">
                  <c:v>ITD Reimbursements</c:v>
                </c:pt>
                <c:pt idx="3">
                  <c:v>Rentals</c:v>
                </c:pt>
                <c:pt idx="4">
                  <c:v>Attorney General Reimbursement</c:v>
                </c:pt>
                <c:pt idx="5">
                  <c:v>Other Expenses &amp; Obligations</c:v>
                </c:pt>
                <c:pt idx="6">
                  <c:v>IT Equipment &amp; Software</c:v>
                </c:pt>
                <c:pt idx="7">
                  <c:v>Communications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1854036.3399999999</c:v>
                </c:pt>
                <c:pt idx="1">
                  <c:v>453154.21</c:v>
                </c:pt>
                <c:pt idx="2">
                  <c:v>209561.43</c:v>
                </c:pt>
                <c:pt idx="3">
                  <c:v>63000</c:v>
                </c:pt>
                <c:pt idx="4">
                  <c:v>42289.5</c:v>
                </c:pt>
                <c:pt idx="5">
                  <c:v>40468.53</c:v>
                </c:pt>
                <c:pt idx="6">
                  <c:v>21494.880000000001</c:v>
                </c:pt>
                <c:pt idx="7">
                  <c:v>18161.18</c:v>
                </c:pt>
                <c:pt idx="8">
                  <c:v>44498.369999999646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7059576057768"/>
          <c:y val="3.6708413046743917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290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/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358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45873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323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372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f>'9397 BOEE'!P53</f>
        <v>982654.4999999993</v>
      </c>
      <c r="F19" s="410">
        <v>981363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982654.4999999993</v>
      </c>
      <c r="E20" s="412"/>
      <c r="F20" s="411">
        <f>SUM(F19:F19)</f>
        <v>981363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 t="s">
        <v>373</v>
      </c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346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350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348</v>
      </c>
      <c r="C48" s="14"/>
      <c r="D48" s="414" t="s">
        <v>349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120010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-99745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1656191.5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41883.75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120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568877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161893.75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-99625</v>
      </c>
      <c r="Q17" s="101">
        <f t="shared" si="7"/>
        <v>0</v>
      </c>
      <c r="R17" s="101">
        <f t="shared" si="7"/>
        <v>0</v>
      </c>
      <c r="S17" s="101">
        <f t="shared" si="7"/>
        <v>2225167.25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147154.97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49788.63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1854036.3399999999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391.5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67.5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1291.45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13192.03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889.91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1275.5899999999999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1118.26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-6000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2421.0599999999995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495.25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232.8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229.29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4862.4500000000007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2645.48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1503.94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18161.18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63000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161.47999999999999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2668.36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10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239.92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4930.8500000000004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330.13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283.07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1235.82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10368.209999999997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2177.58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3128.43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209561.43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42289.5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42289.5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94566.71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453154.21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3576.54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8873.0400000000009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40468.53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120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1235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158761.59000000003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201172.78</v>
      </c>
      <c r="Q50" s="101">
        <f t="shared" si="25"/>
        <v>1291.45</v>
      </c>
      <c r="R50" s="101">
        <f t="shared" si="25"/>
        <v>0</v>
      </c>
      <c r="S50" s="101">
        <f t="shared" si="25"/>
        <v>2743944.9999999995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3132.1599999999744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-300797.78000000003</v>
      </c>
      <c r="Q52" s="101">
        <f t="shared" si="26"/>
        <v>-1291.45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12396.669999999867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P53" sqref="P53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 t="s">
        <v>344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1.0833333333333333</v>
      </c>
      <c r="W3" s="48"/>
    </row>
    <row r="4" spans="1:28" s="1" customFormat="1" ht="18" customHeight="1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0</v>
      </c>
      <c r="Q9" s="60">
        <v>-981363</v>
      </c>
      <c r="R9" s="195"/>
      <c r="S9" s="198">
        <f>SUMIF($D$6:$R$6,$X$2,D9:R9)</f>
        <v>0</v>
      </c>
      <c r="T9" s="70">
        <f>SUM(D9:R9)</f>
        <v>-981363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120010</v>
      </c>
      <c r="M12" s="70">
        <v>141172</v>
      </c>
      <c r="N12" s="70">
        <v>167985.75</v>
      </c>
      <c r="O12" s="70">
        <v>230383.5</v>
      </c>
      <c r="P12" s="70">
        <v>-99745</v>
      </c>
      <c r="Q12" s="70">
        <v>0</v>
      </c>
      <c r="R12" s="198">
        <v>0</v>
      </c>
      <c r="S12" s="198">
        <f>SUMIF($D$6:$R$6,$X$2,D12:R12)</f>
        <v>1656191.5</v>
      </c>
      <c r="T12" s="70">
        <f>SUM(D12:R12)</f>
        <v>1656191.5</v>
      </c>
      <c r="U12" s="70">
        <v>1800000</v>
      </c>
      <c r="V12" s="199">
        <f>IF(U12=0,0,SUMIF($D$6:$R$6,$X$2,D12:R12)/U12)</f>
        <v>0.92010638888888885</v>
      </c>
      <c r="W12" s="199">
        <f>IF(U12=0,0,T12/U12)</f>
        <v>0.92010638888888885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41883.75</v>
      </c>
      <c r="M14" s="70">
        <v>45897</v>
      </c>
      <c r="N14" s="70">
        <v>47795</v>
      </c>
      <c r="O14" s="70">
        <v>59500</v>
      </c>
      <c r="P14" s="70">
        <v>120</v>
      </c>
      <c r="Q14" s="70">
        <v>0</v>
      </c>
      <c r="R14" s="198">
        <v>0</v>
      </c>
      <c r="S14" s="198">
        <f>SUMIF($D$6:$R$6,$X$2,D14:R14)</f>
        <v>568877</v>
      </c>
      <c r="T14" s="70">
        <f>SUM(D14:R14)</f>
        <v>568877</v>
      </c>
      <c r="U14" s="70">
        <v>590000</v>
      </c>
      <c r="V14" s="199">
        <f>IF(U14=0,0,SUMIF($D$6:$R$6,$X$2,D14:R14)/U14)</f>
        <v>0.9641983050847458</v>
      </c>
      <c r="W14" s="199">
        <f>IF(U14=0,0,T14/U14)</f>
        <v>0.9641983050847458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Q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161893.75</v>
      </c>
      <c r="M16" s="91">
        <f t="shared" si="0"/>
        <v>187069</v>
      </c>
      <c r="N16" s="91">
        <f t="shared" si="0"/>
        <v>215780.75</v>
      </c>
      <c r="O16" s="91">
        <f t="shared" si="0"/>
        <v>289883.5</v>
      </c>
      <c r="P16" s="91">
        <f t="shared" si="0"/>
        <v>-99625</v>
      </c>
      <c r="Q16" s="91">
        <f t="shared" si="0"/>
        <v>-981363</v>
      </c>
      <c r="R16" s="201">
        <f>SUM(R8:R15)</f>
        <v>0</v>
      </c>
      <c r="S16" s="201">
        <f t="shared" ref="S16:U16" si="1">SUM(S8:S15)</f>
        <v>3729318.94</v>
      </c>
      <c r="T16" s="91">
        <f t="shared" si="1"/>
        <v>2747955.94</v>
      </c>
      <c r="U16" s="91">
        <f t="shared" si="1"/>
        <v>2868462</v>
      </c>
      <c r="V16" s="202">
        <f>SUMIF($D$6:$R$6,$X$2,D16:R16)/U16</f>
        <v>1.3001109793331758</v>
      </c>
      <c r="W16" s="202">
        <f>T16/U16</f>
        <v>0.95798931273971899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147154.97</v>
      </c>
      <c r="M19" s="70">
        <v>233182.75</v>
      </c>
      <c r="N19" s="70">
        <v>115694.16</v>
      </c>
      <c r="O19" s="70">
        <v>144815.07</v>
      </c>
      <c r="P19" s="70">
        <v>49788.63</v>
      </c>
      <c r="Q19" s="70">
        <f>'Fcst by Job Class'!S21</f>
        <v>0</v>
      </c>
      <c r="R19" s="198">
        <v>0</v>
      </c>
      <c r="S19" s="198">
        <f t="shared" ref="S19:S42" si="2">SUMIF($D$6:$R$6,$X$2,D19:R19)</f>
        <v>1854036.3399999999</v>
      </c>
      <c r="T19" s="70">
        <f t="shared" ref="T19:T42" si="3">SUM(D19:R19)</f>
        <v>1854036.3399999999</v>
      </c>
      <c r="U19" s="70">
        <v>1912643</v>
      </c>
      <c r="V19" s="199">
        <f>IF(U19=0,0,SUMIF($D$6:$R$6,$X$2,D19:R19)/U19)</f>
        <v>0.96935828589025752</v>
      </c>
      <c r="W19" s="199">
        <f>IF(U19=0,0,T19/U19)</f>
        <v>0.96935828589025752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391.5</v>
      </c>
      <c r="M20" s="70">
        <v>3358.88</v>
      </c>
      <c r="N20" s="70">
        <v>1567.31</v>
      </c>
      <c r="O20" s="70">
        <v>842.35</v>
      </c>
      <c r="P20" s="70">
        <v>67.5</v>
      </c>
      <c r="Q20" s="198">
        <v>1291.45</v>
      </c>
      <c r="R20" s="198">
        <v>0</v>
      </c>
      <c r="S20" s="198">
        <f t="shared" si="2"/>
        <v>13192.03</v>
      </c>
      <c r="T20" s="70">
        <f t="shared" si="3"/>
        <v>14483.480000000001</v>
      </c>
      <c r="U20" s="198">
        <v>21000</v>
      </c>
      <c r="V20" s="199">
        <f t="shared" ref="V20:V42" si="4">IF(U20=0,0,SUMIF($D$6:$R$6,$X$2,D20:R20)/U20)</f>
        <v>0.62819190476190478</v>
      </c>
      <c r="W20" s="199">
        <f t="shared" ref="W20:W42" si="5">IF(U20=0,0,T20/U20)</f>
        <v>0.68968952380952386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889.91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1275.5899999999999</v>
      </c>
      <c r="T21" s="70">
        <f t="shared" ref="T21" si="7">SUM(D21:R21)</f>
        <v>1275.5899999999999</v>
      </c>
      <c r="U21" s="198">
        <v>20000</v>
      </c>
      <c r="V21" s="199">
        <f t="shared" ref="V21" si="8">IF(U21=0,0,SUMIF($D$6:$R$6,$X$2,D21:R21)/U21)</f>
        <v>6.3779499999999989E-2</v>
      </c>
      <c r="W21" s="199">
        <f t="shared" ref="W21" si="9">IF(U21=0,0,T21/U21)</f>
        <v>6.3779499999999989E-2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1118.26</v>
      </c>
      <c r="M22" s="70">
        <v>6000</v>
      </c>
      <c r="N22" s="70">
        <v>70</v>
      </c>
      <c r="O22" s="70">
        <v>210.44</v>
      </c>
      <c r="P22" s="70">
        <v>-6000</v>
      </c>
      <c r="Q22" s="198">
        <v>0</v>
      </c>
      <c r="R22" s="198">
        <v>0</v>
      </c>
      <c r="S22" s="198">
        <f t="shared" si="2"/>
        <v>2421.0599999999995</v>
      </c>
      <c r="T22" s="70">
        <f t="shared" si="3"/>
        <v>2421.0599999999995</v>
      </c>
      <c r="U22" s="198">
        <v>10500</v>
      </c>
      <c r="V22" s="199">
        <f t="shared" si="4"/>
        <v>0.23057714285714281</v>
      </c>
      <c r="W22" s="199">
        <f t="shared" si="5"/>
        <v>0.23057714285714281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41</v>
      </c>
      <c r="N25" s="70">
        <v>139</v>
      </c>
      <c r="O25" s="70">
        <v>155.25</v>
      </c>
      <c r="P25" s="70">
        <v>0</v>
      </c>
      <c r="Q25" s="198">
        <v>0</v>
      </c>
      <c r="R25" s="198">
        <v>0</v>
      </c>
      <c r="S25" s="198">
        <f t="shared" si="2"/>
        <v>495.25</v>
      </c>
      <c r="T25" s="70">
        <f t="shared" si="3"/>
        <v>495.25</v>
      </c>
      <c r="U25" s="198">
        <v>3500</v>
      </c>
      <c r="V25" s="199">
        <f t="shared" si="4"/>
        <v>0.14149999999999999</v>
      </c>
      <c r="W25" s="199">
        <f t="shared" si="5"/>
        <v>0.14149999999999999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232.8</v>
      </c>
      <c r="M27" s="70">
        <v>360.65</v>
      </c>
      <c r="N27" s="70">
        <v>377.01</v>
      </c>
      <c r="O27" s="70">
        <v>417.5</v>
      </c>
      <c r="P27" s="70">
        <v>229.29</v>
      </c>
      <c r="Q27" s="198">
        <v>0</v>
      </c>
      <c r="R27" s="198">
        <v>0</v>
      </c>
      <c r="S27" s="198">
        <f t="shared" si="2"/>
        <v>4862.4500000000007</v>
      </c>
      <c r="T27" s="70">
        <f t="shared" si="3"/>
        <v>4862.4500000000007</v>
      </c>
      <c r="U27" s="198">
        <v>12500</v>
      </c>
      <c r="V27" s="199">
        <f t="shared" si="4"/>
        <v>0.38899600000000006</v>
      </c>
      <c r="W27" s="199">
        <f t="shared" si="5"/>
        <v>0.38899600000000006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2645.48</v>
      </c>
      <c r="M28" s="70">
        <v>1682.94</v>
      </c>
      <c r="N28" s="70">
        <v>894</v>
      </c>
      <c r="O28" s="70">
        <v>1682.94</v>
      </c>
      <c r="P28" s="70">
        <v>1503.94</v>
      </c>
      <c r="Q28" s="198">
        <v>0</v>
      </c>
      <c r="R28" s="198">
        <v>0</v>
      </c>
      <c r="S28" s="198">
        <f t="shared" si="2"/>
        <v>18161.18</v>
      </c>
      <c r="T28" s="70">
        <f t="shared" si="3"/>
        <v>18161.18</v>
      </c>
      <c r="U28" s="198">
        <v>20000.11</v>
      </c>
      <c r="V28" s="199">
        <f t="shared" si="4"/>
        <v>0.90805400570296857</v>
      </c>
      <c r="W28" s="199">
        <f t="shared" si="5"/>
        <v>0.90805400570296857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0</v>
      </c>
      <c r="M29" s="70">
        <v>10500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63000</v>
      </c>
      <c r="T29" s="70">
        <f t="shared" si="3"/>
        <v>63000</v>
      </c>
      <c r="U29" s="198">
        <v>71500</v>
      </c>
      <c r="V29" s="199">
        <f t="shared" si="4"/>
        <v>0.88111888111888115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337.18</v>
      </c>
      <c r="M30" s="70">
        <v>246.69</v>
      </c>
      <c r="N30" s="70">
        <v>220.66</v>
      </c>
      <c r="O30" s="70">
        <v>160.87</v>
      </c>
      <c r="P30" s="70">
        <v>205.55</v>
      </c>
      <c r="Q30" s="198">
        <v>0</v>
      </c>
      <c r="R30" s="198"/>
      <c r="S30" s="198">
        <f t="shared" ref="S30" si="18">SUMIF($D$6:$R$6,$X$2,D30:R30)</f>
        <v>2719.4399999999996</v>
      </c>
      <c r="T30" s="70">
        <f t="shared" ref="T30" si="19">SUM(D30:R30)</f>
        <v>2719.4399999999996</v>
      </c>
      <c r="U30" s="198">
        <v>4000.25</v>
      </c>
      <c r="V30" s="199">
        <f t="shared" ref="V30" si="20">IF(U30=0,0,SUMIF($D$6:$R$6,$X$2,D30:R30)/U30)</f>
        <v>0.67981751140553703</v>
      </c>
      <c r="W30" s="199">
        <f t="shared" ref="W30" si="21">IF(U30=0,0,T30/U30)</f>
        <v>0.67981751140553703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161.47999999999999</v>
      </c>
      <c r="M31" s="70">
        <v>0</v>
      </c>
      <c r="N31" s="70">
        <v>0</v>
      </c>
      <c r="O31" s="70">
        <v>322.95999999999998</v>
      </c>
      <c r="P31" s="70">
        <v>0</v>
      </c>
      <c r="Q31" s="198">
        <v>0</v>
      </c>
      <c r="R31" s="198">
        <v>0</v>
      </c>
      <c r="S31" s="198">
        <f t="shared" si="2"/>
        <v>2668.36</v>
      </c>
      <c r="T31" s="70">
        <f t="shared" si="3"/>
        <v>2668.36</v>
      </c>
      <c r="U31" s="198">
        <v>5000</v>
      </c>
      <c r="V31" s="199">
        <f t="shared" si="4"/>
        <v>0.53367200000000004</v>
      </c>
      <c r="W31" s="199">
        <f t="shared" si="5"/>
        <v>0.53367200000000004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10</v>
      </c>
      <c r="M32" s="70">
        <v>737</v>
      </c>
      <c r="N32" s="70">
        <v>373.5</v>
      </c>
      <c r="O32" s="70">
        <v>373.5</v>
      </c>
      <c r="P32" s="70">
        <v>239.92</v>
      </c>
      <c r="Q32" s="198">
        <v>0</v>
      </c>
      <c r="R32" s="198">
        <v>0</v>
      </c>
      <c r="S32" s="198">
        <f t="shared" si="2"/>
        <v>4930.8500000000004</v>
      </c>
      <c r="T32" s="70">
        <f t="shared" si="3"/>
        <v>4930.8500000000004</v>
      </c>
      <c r="U32" s="198">
        <v>6000</v>
      </c>
      <c r="V32" s="199">
        <f t="shared" si="4"/>
        <v>0.82180833333333336</v>
      </c>
      <c r="W32" s="199">
        <f t="shared" si="5"/>
        <v>0.82180833333333336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118.23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330.13</v>
      </c>
      <c r="T34" s="70">
        <f t="shared" si="3"/>
        <v>330.13</v>
      </c>
      <c r="U34" s="198">
        <v>1000</v>
      </c>
      <c r="V34" s="199">
        <f t="shared" si="4"/>
        <v>0.33012999999999998</v>
      </c>
      <c r="W34" s="199">
        <f t="shared" si="5"/>
        <v>0.33012999999999998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283.07</v>
      </c>
      <c r="M35" s="70">
        <v>1241.32</v>
      </c>
      <c r="N35" s="70">
        <v>279.57</v>
      </c>
      <c r="O35" s="70">
        <v>558.04999999999995</v>
      </c>
      <c r="P35" s="70">
        <v>1235.82</v>
      </c>
      <c r="Q35" s="198">
        <v>0</v>
      </c>
      <c r="R35" s="198">
        <v>0</v>
      </c>
      <c r="S35" s="198">
        <f t="shared" si="2"/>
        <v>10368.209999999997</v>
      </c>
      <c r="T35" s="70">
        <f t="shared" si="3"/>
        <v>10368.209999999997</v>
      </c>
      <c r="U35" s="70">
        <v>8000</v>
      </c>
      <c r="V35" s="199">
        <f t="shared" si="4"/>
        <v>1.2960262499999997</v>
      </c>
      <c r="W35" s="199">
        <f t="shared" si="5"/>
        <v>1.2960262499999997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2177.58</v>
      </c>
      <c r="M36" s="70">
        <v>1980.96</v>
      </c>
      <c r="N36" s="70">
        <v>1985.38</v>
      </c>
      <c r="O36" s="70">
        <v>2085.13</v>
      </c>
      <c r="P36" s="70">
        <v>3128.43</v>
      </c>
      <c r="Q36" s="198">
        <v>0</v>
      </c>
      <c r="R36" s="198">
        <v>0</v>
      </c>
      <c r="S36" s="198">
        <f t="shared" si="2"/>
        <v>209561.43</v>
      </c>
      <c r="T36" s="70">
        <f t="shared" si="3"/>
        <v>209561.43</v>
      </c>
      <c r="U36" s="70">
        <v>210000</v>
      </c>
      <c r="V36" s="199">
        <f t="shared" si="4"/>
        <v>0.99791157142857134</v>
      </c>
      <c r="W36" s="199">
        <f t="shared" si="5"/>
        <v>0.99791157142857134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42289.5</v>
      </c>
      <c r="Q38" s="198">
        <v>0</v>
      </c>
      <c r="R38" s="198">
        <v>0</v>
      </c>
      <c r="S38" s="198">
        <f t="shared" si="2"/>
        <v>42289.5</v>
      </c>
      <c r="T38" s="70">
        <f t="shared" si="3"/>
        <v>42289.5</v>
      </c>
      <c r="U38" s="70">
        <v>54000</v>
      </c>
      <c r="V38" s="199">
        <f t="shared" si="4"/>
        <v>0.78313888888888894</v>
      </c>
      <c r="W38" s="199">
        <f t="shared" si="5"/>
        <v>0.78313888888888894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24658.57</v>
      </c>
      <c r="N39" s="70">
        <v>0</v>
      </c>
      <c r="O39" s="70">
        <v>245843.85</v>
      </c>
      <c r="P39" s="70">
        <v>94566.71</v>
      </c>
      <c r="Q39" s="198">
        <v>0</v>
      </c>
      <c r="R39" s="198">
        <v>0</v>
      </c>
      <c r="S39" s="198">
        <f t="shared" si="2"/>
        <v>453154.21</v>
      </c>
      <c r="T39" s="70">
        <f t="shared" si="3"/>
        <v>453154.21</v>
      </c>
      <c r="U39" s="70">
        <v>320000</v>
      </c>
      <c r="V39" s="199">
        <f t="shared" si="4"/>
        <v>1.41610690625</v>
      </c>
      <c r="W39" s="199">
        <f t="shared" si="5"/>
        <v>1.41610690625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3576.54</v>
      </c>
      <c r="M44" s="70">
        <v>2886.14</v>
      </c>
      <c r="N44" s="70">
        <v>3034.05</v>
      </c>
      <c r="O44" s="70">
        <v>3025.43</v>
      </c>
      <c r="P44" s="70">
        <v>8873.0400000000009</v>
      </c>
      <c r="Q44" s="198">
        <v>0</v>
      </c>
      <c r="R44" s="198">
        <v>0</v>
      </c>
      <c r="S44" s="198">
        <f t="shared" si="30"/>
        <v>40468.53</v>
      </c>
      <c r="T44" s="70">
        <f t="shared" si="31"/>
        <v>40468.53</v>
      </c>
      <c r="U44" s="198">
        <v>42000</v>
      </c>
      <c r="V44" s="199">
        <f t="shared" si="32"/>
        <v>0.96353642857142852</v>
      </c>
      <c r="W44" s="199">
        <f t="shared" si="33"/>
        <v>0.96353642857142852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120</v>
      </c>
      <c r="M46" s="198">
        <v>550</v>
      </c>
      <c r="N46" s="198">
        <v>565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1235</v>
      </c>
      <c r="T46" s="70">
        <f t="shared" si="31"/>
        <v>1235</v>
      </c>
      <c r="U46" s="198">
        <v>5000</v>
      </c>
      <c r="V46" s="199">
        <f t="shared" si="32"/>
        <v>0.247</v>
      </c>
      <c r="W46" s="199">
        <f t="shared" si="33"/>
        <v>0.247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159098.77000000002</v>
      </c>
      <c r="M48" s="201">
        <f t="shared" si="38"/>
        <v>287545.13</v>
      </c>
      <c r="N48" s="201">
        <f t="shared" si="38"/>
        <v>130449.64000000001</v>
      </c>
      <c r="O48" s="201">
        <f t="shared" si="38"/>
        <v>405743.34</v>
      </c>
      <c r="P48" s="201">
        <f t="shared" si="38"/>
        <v>201378.33000000002</v>
      </c>
      <c r="Q48" s="201">
        <f t="shared" si="38"/>
        <v>1291.45</v>
      </c>
      <c r="R48" s="201">
        <f t="shared" si="38"/>
        <v>0</v>
      </c>
      <c r="S48" s="201">
        <f t="shared" si="38"/>
        <v>2746664.4399999995</v>
      </c>
      <c r="T48" s="91">
        <f t="shared" si="38"/>
        <v>2747955.8899999997</v>
      </c>
      <c r="U48" s="201">
        <f t="shared" si="38"/>
        <v>2785111.0300000003</v>
      </c>
      <c r="V48" s="202">
        <f>SUMIF($D$6:$R$6,$X$2,D48:R48)/U48</f>
        <v>0.98619567062645974</v>
      </c>
      <c r="W48" s="202">
        <f>T48/U48</f>
        <v>0.98665936847767233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2794.9799999999814</v>
      </c>
      <c r="M51" s="201">
        <f t="shared" si="39"/>
        <v>-100476.13</v>
      </c>
      <c r="N51" s="201">
        <f t="shared" si="39"/>
        <v>85331.109999999986</v>
      </c>
      <c r="O51" s="201">
        <f t="shared" si="39"/>
        <v>-115859.84000000003</v>
      </c>
      <c r="P51" s="201">
        <f t="shared" si="39"/>
        <v>-301003.33</v>
      </c>
      <c r="Q51" s="201">
        <f t="shared" si="39"/>
        <v>-982654.45</v>
      </c>
      <c r="R51" s="201">
        <f t="shared" si="39"/>
        <v>0</v>
      </c>
      <c r="S51" s="201">
        <f t="shared" si="39"/>
        <v>982654.50000000047</v>
      </c>
      <c r="T51" s="91">
        <f t="shared" si="39"/>
        <v>5.0000000279396772E-2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309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1414662.6899999997</v>
      </c>
      <c r="M53" s="210">
        <f t="shared" si="40"/>
        <v>1314186.5599999996</v>
      </c>
      <c r="N53" s="210">
        <f t="shared" si="40"/>
        <v>1399517.6699999995</v>
      </c>
      <c r="O53" s="210">
        <f t="shared" si="40"/>
        <v>1283657.8299999994</v>
      </c>
      <c r="P53" s="210">
        <f t="shared" si="40"/>
        <v>982654.4999999993</v>
      </c>
      <c r="Q53" s="210">
        <f t="shared" si="40"/>
        <v>4.9999999348074198E-2</v>
      </c>
      <c r="R53" s="210">
        <f t="shared" si="40"/>
        <v>4.9999999348074198E-2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299</v>
      </c>
      <c r="W55" s="350" t="s">
        <v>300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308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283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301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301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320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286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361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301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281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366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289</v>
      </c>
      <c r="N62" s="366"/>
      <c r="O62" s="217"/>
      <c r="P62" s="346" t="s">
        <v>310</v>
      </c>
      <c r="Q62" s="176" t="s">
        <v>297</v>
      </c>
      <c r="R62" s="342"/>
      <c r="S62" s="343"/>
      <c r="T62" s="368" t="s">
        <v>319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317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307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331</v>
      </c>
      <c r="C64" s="77"/>
      <c r="D64" s="34"/>
      <c r="E64" s="34"/>
      <c r="F64" s="34"/>
      <c r="G64" s="34"/>
      <c r="H64" s="34"/>
      <c r="I64" s="34"/>
      <c r="J64" s="34"/>
      <c r="K64" s="323"/>
      <c r="L64" s="415" t="s">
        <v>362</v>
      </c>
      <c r="M64" s="78" t="s">
        <v>354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335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288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334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287</v>
      </c>
      <c r="C66" s="34"/>
      <c r="D66" s="34"/>
      <c r="E66" s="34"/>
      <c r="F66" s="34"/>
      <c r="G66" s="34"/>
      <c r="H66" s="34"/>
      <c r="I66" s="34"/>
      <c r="J66" s="34"/>
      <c r="K66" s="323"/>
      <c r="L66" s="415" t="s">
        <v>363</v>
      </c>
      <c r="M66" s="78" t="s">
        <v>356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367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313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336</v>
      </c>
      <c r="C68" s="34"/>
      <c r="D68" s="34"/>
      <c r="E68" s="34"/>
      <c r="F68" s="34"/>
      <c r="G68" s="34"/>
      <c r="H68" s="34"/>
      <c r="I68" s="34"/>
      <c r="J68" s="34"/>
      <c r="K68" s="34"/>
      <c r="L68" s="415" t="s">
        <v>364</v>
      </c>
      <c r="M68" s="78" t="s">
        <v>357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" x14ac:dyDescent="0.25">
      <c r="A69" s="171">
        <v>432</v>
      </c>
      <c r="B69" s="77" t="s">
        <v>370</v>
      </c>
      <c r="C69" s="34"/>
      <c r="D69" s="34"/>
      <c r="E69" s="34"/>
      <c r="F69" s="34"/>
      <c r="G69" s="34"/>
      <c r="H69" s="34"/>
      <c r="I69" s="34"/>
      <c r="J69" s="34"/>
      <c r="K69" s="323"/>
      <c r="L69" s="336" t="s">
        <v>365</v>
      </c>
      <c r="M69" s="416" t="s">
        <v>368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302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434</v>
      </c>
      <c r="B70" s="77" t="s">
        <v>371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294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502</v>
      </c>
      <c r="B71" s="77" t="s">
        <v>332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298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503</v>
      </c>
      <c r="B72" s="77" t="s">
        <v>333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510</v>
      </c>
      <c r="B73" s="77" t="s">
        <v>345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A74" s="171">
        <v>602</v>
      </c>
      <c r="B74" s="168" t="s">
        <v>218</v>
      </c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305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311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303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295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316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318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296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282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312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306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315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314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304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/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291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369</v>
      </c>
      <c r="O6" s="69" t="s">
        <v>369</v>
      </c>
      <c r="P6" s="69" t="s">
        <v>369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120010</v>
      </c>
      <c r="M12" s="9">
        <f>IF(M$6="Actual",'9397 BOEE'!M12,0)</f>
        <v>141172</v>
      </c>
      <c r="N12" s="9">
        <v>167985.75</v>
      </c>
      <c r="O12" s="9">
        <v>230383.5</v>
      </c>
      <c r="P12" s="9">
        <v>-99745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1656191.5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41883.75</v>
      </c>
      <c r="M14" s="9">
        <f>IF(M$6="Actual",'9397 BOEE'!M14,0)</f>
        <v>45897</v>
      </c>
      <c r="N14" s="9">
        <v>47795</v>
      </c>
      <c r="O14" s="9">
        <v>59500</v>
      </c>
      <c r="P14" s="9">
        <v>120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568877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161893.75</v>
      </c>
      <c r="M16" s="201">
        <f t="shared" si="2"/>
        <v>187069</v>
      </c>
      <c r="N16" s="201">
        <f t="shared" si="2"/>
        <v>215780.75</v>
      </c>
      <c r="O16" s="201">
        <f t="shared" si="2"/>
        <v>289883.5</v>
      </c>
      <c r="P16" s="201">
        <f t="shared" si="2"/>
        <v>-99625</v>
      </c>
      <c r="Q16" s="201">
        <f t="shared" si="2"/>
        <v>0</v>
      </c>
      <c r="R16" s="201">
        <f t="shared" si="2"/>
        <v>0</v>
      </c>
      <c r="S16" s="201">
        <f t="shared" si="2"/>
        <v>2225167.25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>
        <v>0</v>
      </c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352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37746.25</v>
      </c>
      <c r="M19" s="385">
        <v>44360</v>
      </c>
      <c r="N19" s="385">
        <v>52801.25</v>
      </c>
      <c r="O19" s="385">
        <v>72757.5</v>
      </c>
      <c r="P19" s="293"/>
      <c r="Q19" s="293"/>
      <c r="R19" s="293"/>
      <c r="S19" s="294">
        <f t="shared" si="3"/>
        <v>552997.5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>
        <v>85</v>
      </c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37746.25</v>
      </c>
      <c r="M21" s="377">
        <f t="shared" si="4"/>
        <v>44360</v>
      </c>
      <c r="N21" s="377">
        <f t="shared" si="4"/>
        <v>52801.25</v>
      </c>
      <c r="O21" s="377">
        <f t="shared" si="4"/>
        <v>72757.5</v>
      </c>
      <c r="P21" s="296">
        <f t="shared" si="4"/>
        <v>85</v>
      </c>
      <c r="Q21" s="296">
        <f t="shared" si="4"/>
        <v>0</v>
      </c>
      <c r="R21" s="296">
        <f t="shared" si="4"/>
        <v>0</v>
      </c>
      <c r="S21" s="296">
        <f t="shared" si="4"/>
        <v>553018.75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199640</v>
      </c>
      <c r="M23" s="297">
        <f t="shared" si="5"/>
        <v>231429</v>
      </c>
      <c r="N23" s="297">
        <f t="shared" si="5"/>
        <v>268582</v>
      </c>
      <c r="O23" s="297">
        <f t="shared" si="5"/>
        <v>362641</v>
      </c>
      <c r="P23" s="297">
        <f t="shared" si="5"/>
        <v>-99540</v>
      </c>
      <c r="Q23" s="297">
        <f t="shared" si="5"/>
        <v>0</v>
      </c>
      <c r="R23" s="297">
        <f t="shared" si="5"/>
        <v>0</v>
      </c>
      <c r="S23" s="297">
        <f t="shared" si="5"/>
        <v>2778186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>
        <f>IF(L6="Actual",SUM($D23:L23)/SUM($D50:L50)-1,"")</f>
        <v>1.5801983701253519E-3</v>
      </c>
      <c r="M25" s="354">
        <f>IF(M6="Actual",SUM($D23:M23)/SUM($D50:M50)-1,"")</f>
        <v>1.5075863470352946E-3</v>
      </c>
      <c r="N25" s="354" t="str">
        <f>IF(N6="Actual",SUM($D23:N23)/SUM($D50:N50)-1,"")</f>
        <v/>
      </c>
      <c r="O25" s="334" t="str">
        <f>IF(O6="Actual",SUM($D23:O23)/SUM($D50:O50)-1,"")</f>
        <v/>
      </c>
      <c r="P25" s="354" t="str">
        <f>IF(P6="Actual",SUM($D23:P23)/SUM($D50:P50)-1,"")</f>
        <v/>
      </c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328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J31" sqref="J3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327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326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355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1656191.5</v>
      </c>
      <c r="D9" s="9"/>
      <c r="E9" s="271">
        <f t="shared" si="1"/>
        <v>1656191.5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568877</v>
      </c>
      <c r="D10" s="9"/>
      <c r="E10" s="271">
        <f t="shared" si="1"/>
        <v>568877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3729318.94</v>
      </c>
      <c r="D11" s="281">
        <f t="shared" ref="D11" si="3">SUM(D6:D10)</f>
        <v>0</v>
      </c>
      <c r="E11" s="281">
        <f t="shared" si="2"/>
        <v>3729318.94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2225167.25</v>
      </c>
      <c r="D12" s="283">
        <f>SUM(D8:D10)</f>
        <v>0</v>
      </c>
      <c r="E12" s="283">
        <f>SUM(E8:E10)</f>
        <v>2225167.25</v>
      </c>
      <c r="F12" s="283"/>
      <c r="G12" s="284">
        <f>SUM(G8:G10)</f>
        <v>2396000</v>
      </c>
      <c r="H12" s="285">
        <f>G12-E12</f>
        <v>170832.75</v>
      </c>
      <c r="I12" s="274">
        <f>IF(G12=0,0,E12/G12)</f>
        <v>0.92870085559265447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1854036.3399999999</v>
      </c>
      <c r="D15" s="9"/>
      <c r="E15" s="271">
        <f t="shared" ref="E15:E42" si="4">C15+D15</f>
        <v>1854036.3399999999</v>
      </c>
      <c r="F15" s="271"/>
      <c r="G15" s="273">
        <f>'9397 BOEE'!U19</f>
        <v>1912643</v>
      </c>
      <c r="H15" s="9">
        <f>G15-E15</f>
        <v>58606.660000000149</v>
      </c>
      <c r="I15" s="274">
        <f t="shared" ref="I15:I43" si="5">IF(G15=0,0,E15/G15)</f>
        <v>0.96935828589025752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13192.03</v>
      </c>
      <c r="D16" s="9"/>
      <c r="E16" s="271">
        <f t="shared" si="4"/>
        <v>13192.03</v>
      </c>
      <c r="F16" s="271"/>
      <c r="G16" s="273">
        <f>'9397 BOEE'!U20</f>
        <v>21000</v>
      </c>
      <c r="H16" s="9">
        <f t="shared" ref="H16:H42" si="6">G16-D16-C16</f>
        <v>7807.9699999999993</v>
      </c>
      <c r="I16" s="274">
        <f t="shared" si="5"/>
        <v>0.62819190476190478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1275.5899999999999</v>
      </c>
      <c r="D17" s="9"/>
      <c r="E17" s="271">
        <f t="shared" si="4"/>
        <v>1275.5899999999999</v>
      </c>
      <c r="F17" s="271"/>
      <c r="G17" s="273">
        <f>'9397 BOEE'!U21</f>
        <v>20000</v>
      </c>
      <c r="H17" s="9">
        <f t="shared" si="6"/>
        <v>18724.41</v>
      </c>
      <c r="I17" s="274">
        <f t="shared" si="5"/>
        <v>6.3779499999999989E-2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2421.0599999999995</v>
      </c>
      <c r="D18" s="9"/>
      <c r="E18" s="271">
        <f t="shared" si="4"/>
        <v>2421.0599999999995</v>
      </c>
      <c r="F18" s="271"/>
      <c r="G18" s="273">
        <f>'9397 BOEE'!U22</f>
        <v>10500</v>
      </c>
      <c r="H18" s="9">
        <f t="shared" si="6"/>
        <v>8078.9400000000005</v>
      </c>
      <c r="I18" s="274">
        <f t="shared" si="5"/>
        <v>0.23057714285714281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495.25</v>
      </c>
      <c r="D21" s="9"/>
      <c r="E21" s="271">
        <f t="shared" si="4"/>
        <v>495.25</v>
      </c>
      <c r="F21" s="271"/>
      <c r="G21" s="273">
        <f>'9397 BOEE'!U25</f>
        <v>3500</v>
      </c>
      <c r="H21" s="9">
        <f t="shared" si="6"/>
        <v>3004.75</v>
      </c>
      <c r="I21" s="274">
        <f t="shared" si="5"/>
        <v>0.14149999999999999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4862.4500000000007</v>
      </c>
      <c r="D23" s="9"/>
      <c r="E23" s="271">
        <f t="shared" si="4"/>
        <v>4862.4500000000007</v>
      </c>
      <c r="F23" s="271"/>
      <c r="G23" s="273">
        <f>'9397 BOEE'!U27</f>
        <v>12500</v>
      </c>
      <c r="H23" s="9">
        <f t="shared" si="6"/>
        <v>7637.5499999999993</v>
      </c>
      <c r="I23" s="274">
        <f t="shared" si="5"/>
        <v>0.38899600000000006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18161.18</v>
      </c>
      <c r="D24" s="9"/>
      <c r="E24" s="271">
        <f t="shared" si="4"/>
        <v>18161.18</v>
      </c>
      <c r="F24" s="271"/>
      <c r="G24" s="273">
        <f>'9397 BOEE'!U28</f>
        <v>20000.11</v>
      </c>
      <c r="H24" s="9">
        <f t="shared" si="6"/>
        <v>1838.9300000000003</v>
      </c>
      <c r="I24" s="274">
        <f t="shared" si="5"/>
        <v>0.90805400570296857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63000</v>
      </c>
      <c r="D25" s="9"/>
      <c r="E25" s="271">
        <f t="shared" si="4"/>
        <v>63000</v>
      </c>
      <c r="F25" s="271"/>
      <c r="G25" s="273">
        <f>'9397 BOEE'!U29</f>
        <v>71500</v>
      </c>
      <c r="H25" s="9">
        <f t="shared" si="6"/>
        <v>8500</v>
      </c>
      <c r="I25" s="274">
        <f t="shared" si="5"/>
        <v>0.88111888111888115</v>
      </c>
    </row>
    <row r="26" spans="1:9" x14ac:dyDescent="0.2">
      <c r="A26" s="267" t="s">
        <v>237</v>
      </c>
      <c r="B26" s="266" t="s">
        <v>238</v>
      </c>
      <c r="C26" s="9">
        <f>'9397 BOEE'!S30</f>
        <v>2719.4399999999996</v>
      </c>
      <c r="D26" s="9"/>
      <c r="E26" s="271">
        <f t="shared" ref="E26" si="11">C26+D26</f>
        <v>2719.4399999999996</v>
      </c>
      <c r="F26" s="271"/>
      <c r="G26" s="273">
        <f>'9397 BOEE'!U30</f>
        <v>4000.25</v>
      </c>
      <c r="H26" s="9">
        <f t="shared" ref="H26" si="12">G26-D26-C26</f>
        <v>1280.8100000000004</v>
      </c>
      <c r="I26" s="274">
        <f t="shared" si="5"/>
        <v>0.67981751140553703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2668.36</v>
      </c>
      <c r="D27" s="9"/>
      <c r="E27" s="271">
        <f t="shared" si="4"/>
        <v>2668.36</v>
      </c>
      <c r="F27" s="271"/>
      <c r="G27" s="273">
        <f>'9397 BOEE'!U31</f>
        <v>5000</v>
      </c>
      <c r="H27" s="9">
        <f t="shared" si="6"/>
        <v>2331.64</v>
      </c>
      <c r="I27" s="274">
        <f t="shared" si="5"/>
        <v>0.53367200000000004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4930.8500000000004</v>
      </c>
      <c r="D28" s="9"/>
      <c r="E28" s="271">
        <f t="shared" si="4"/>
        <v>4930.8500000000004</v>
      </c>
      <c r="F28" s="271"/>
      <c r="G28" s="273">
        <f>'9397 BOEE'!U32</f>
        <v>6000</v>
      </c>
      <c r="H28" s="9">
        <f t="shared" si="6"/>
        <v>1069.1499999999996</v>
      </c>
      <c r="I28" s="274">
        <f t="shared" si="5"/>
        <v>0.82180833333333336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330.13</v>
      </c>
      <c r="D30" s="9"/>
      <c r="E30" s="271">
        <f t="shared" si="4"/>
        <v>330.13</v>
      </c>
      <c r="F30" s="271"/>
      <c r="G30" s="273">
        <f>'9397 BOEE'!U34</f>
        <v>1000</v>
      </c>
      <c r="H30" s="9">
        <f t="shared" si="6"/>
        <v>669.87</v>
      </c>
      <c r="I30" s="274">
        <f t="shared" si="5"/>
        <v>0.33012999999999998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10368.209999999997</v>
      </c>
      <c r="D31" s="9"/>
      <c r="E31" s="271">
        <f t="shared" si="4"/>
        <v>10368.209999999997</v>
      </c>
      <c r="F31" s="271"/>
      <c r="G31" s="273">
        <f>'9397 BOEE'!U35</f>
        <v>8000</v>
      </c>
      <c r="H31" s="9">
        <f t="shared" si="6"/>
        <v>-2368.2099999999973</v>
      </c>
      <c r="I31" s="274">
        <f t="shared" si="5"/>
        <v>1.2960262499999997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209561.43</v>
      </c>
      <c r="D32" s="9"/>
      <c r="E32" s="271">
        <f t="shared" si="4"/>
        <v>209561.43</v>
      </c>
      <c r="F32" s="271"/>
      <c r="G32" s="273">
        <f>'9397 BOEE'!U36</f>
        <v>210000</v>
      </c>
      <c r="H32" s="9">
        <f t="shared" si="6"/>
        <v>438.57000000000698</v>
      </c>
      <c r="I32" s="274">
        <f t="shared" si="5"/>
        <v>0.99791157142857134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42289.5</v>
      </c>
      <c r="D34" s="9"/>
      <c r="E34" s="271">
        <f t="shared" si="4"/>
        <v>42289.5</v>
      </c>
      <c r="F34" s="271"/>
      <c r="G34" s="273">
        <f>'9397 BOEE'!U38</f>
        <v>54000</v>
      </c>
      <c r="H34" s="9">
        <f t="shared" si="6"/>
        <v>11710.5</v>
      </c>
      <c r="I34" s="274">
        <f t="shared" si="5"/>
        <v>0.78313888888888894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453154.21</v>
      </c>
      <c r="D35" s="9"/>
      <c r="E35" s="271">
        <f t="shared" si="4"/>
        <v>453154.21</v>
      </c>
      <c r="F35" s="271"/>
      <c r="G35" s="273">
        <f>'9397 BOEE'!U39</f>
        <v>320000</v>
      </c>
      <c r="H35" s="9">
        <f t="shared" si="6"/>
        <v>-133154.21000000002</v>
      </c>
      <c r="I35" s="274">
        <f t="shared" si="5"/>
        <v>1.41610690625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40468.53</v>
      </c>
      <c r="D40" s="9"/>
      <c r="E40" s="271">
        <f t="shared" si="4"/>
        <v>40468.53</v>
      </c>
      <c r="F40" s="271"/>
      <c r="G40" s="273">
        <f>'9397 BOEE'!U44</f>
        <v>42000</v>
      </c>
      <c r="H40" s="9">
        <f t="shared" si="6"/>
        <v>1531.4700000000012</v>
      </c>
      <c r="I40" s="274">
        <f t="shared" si="5"/>
        <v>0.96353642857142852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1235</v>
      </c>
      <c r="D42" s="9"/>
      <c r="E42" s="271">
        <f t="shared" si="4"/>
        <v>1235</v>
      </c>
      <c r="F42" s="271"/>
      <c r="G42" s="273">
        <f>'9397 BOEE'!U46</f>
        <v>5000</v>
      </c>
      <c r="H42" s="9">
        <f t="shared" si="6"/>
        <v>3765</v>
      </c>
      <c r="I42" s="274">
        <f t="shared" si="5"/>
        <v>0.247</v>
      </c>
    </row>
    <row r="43" spans="1:9" x14ac:dyDescent="0.2">
      <c r="A43" s="266"/>
      <c r="B43" s="268" t="s">
        <v>192</v>
      </c>
      <c r="C43" s="280">
        <f>SUM(C15:C42)</f>
        <v>2746664.4399999995</v>
      </c>
      <c r="D43" s="280">
        <f>SUM(D15:D42)</f>
        <v>0</v>
      </c>
      <c r="E43" s="280">
        <f>SUM(E15:E42)</f>
        <v>2746664.4399999995</v>
      </c>
      <c r="F43" s="280"/>
      <c r="G43" s="280">
        <f>SUM(G15:G42)</f>
        <v>2785111.0300000003</v>
      </c>
      <c r="H43" s="280">
        <f>SUM(H15:H42)</f>
        <v>37446.590000000142</v>
      </c>
      <c r="I43" s="274">
        <f t="shared" si="5"/>
        <v>0.98619567062645941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-521497.18999999948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982654.50000000047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3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327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1656191.5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568877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3729318.94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2225167.25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1854036.3399999999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1854036.3399999999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9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13192.03</v>
      </c>
      <c r="F16">
        <v>2</v>
      </c>
      <c r="G16" s="308"/>
      <c r="H16" s="307" t="str">
        <f t="shared" si="2"/>
        <v>Gov Transfer Other Agencies</v>
      </c>
      <c r="I16" s="312">
        <f t="shared" si="3"/>
        <v>453154.21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16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1275.5899999999999</v>
      </c>
      <c r="F17">
        <v>3</v>
      </c>
      <c r="G17" s="308"/>
      <c r="H17" s="307" t="str">
        <f t="shared" si="2"/>
        <v>ITD Reimbursements</v>
      </c>
      <c r="I17" s="312">
        <f t="shared" si="3"/>
        <v>209561.43</v>
      </c>
      <c r="J17" s="303"/>
      <c r="K17" s="14"/>
      <c r="L17" s="14"/>
      <c r="M17" s="14"/>
      <c r="N17" s="14"/>
    </row>
    <row r="18" spans="1:14" x14ac:dyDescent="0.2">
      <c r="A18" s="308">
        <f t="shared" si="1"/>
        <v>15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2421.0599999999995</v>
      </c>
      <c r="F18">
        <v>4</v>
      </c>
      <c r="G18" s="308"/>
      <c r="H18" s="307" t="str">
        <f t="shared" si="2"/>
        <v>Rentals</v>
      </c>
      <c r="I18" s="312">
        <f t="shared" si="3"/>
        <v>63000</v>
      </c>
      <c r="J18" s="303"/>
      <c r="K18" s="14"/>
      <c r="L18" s="14"/>
      <c r="M18" s="14"/>
      <c r="N18" s="14"/>
    </row>
    <row r="19" spans="1:14" x14ac:dyDescent="0.2">
      <c r="A19" s="308">
        <f t="shared" si="1"/>
        <v>20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Attorney General Reimbursement</v>
      </c>
      <c r="I19" s="312">
        <f t="shared" si="3"/>
        <v>42289.5</v>
      </c>
      <c r="J19" s="303"/>
      <c r="K19" s="14"/>
      <c r="L19" s="14"/>
      <c r="M19" s="14"/>
      <c r="N19" s="14"/>
    </row>
    <row r="20" spans="1:14" x14ac:dyDescent="0.2">
      <c r="A20" s="308">
        <f t="shared" si="1"/>
        <v>20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Other Expenses &amp; Obligations</v>
      </c>
      <c r="I20" s="312">
        <f t="shared" si="3"/>
        <v>40468.53</v>
      </c>
      <c r="J20" s="303"/>
      <c r="K20" s="14"/>
      <c r="L20" s="14"/>
      <c r="M20" s="14"/>
      <c r="N20" s="14"/>
    </row>
    <row r="21" spans="1:14" x14ac:dyDescent="0.2">
      <c r="A21" s="308">
        <f t="shared" si="1"/>
        <v>18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495.25</v>
      </c>
      <c r="F21">
        <v>7</v>
      </c>
      <c r="G21" s="308"/>
      <c r="H21" s="307" t="str">
        <f t="shared" si="2"/>
        <v>IT Equipment &amp; Software</v>
      </c>
      <c r="I21" s="312">
        <f t="shared" si="3"/>
        <v>21494.880000000001</v>
      </c>
      <c r="J21" s="303"/>
      <c r="K21" s="14"/>
      <c r="L21" s="14"/>
      <c r="M21" s="14"/>
      <c r="N21" s="14"/>
    </row>
    <row r="22" spans="1:14" x14ac:dyDescent="0.2">
      <c r="A22" s="308">
        <f t="shared" si="1"/>
        <v>20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Communications</v>
      </c>
      <c r="I22" s="312">
        <f t="shared" si="3"/>
        <v>18161.18</v>
      </c>
      <c r="J22" s="303"/>
      <c r="K22" s="14"/>
      <c r="L22" s="14"/>
      <c r="M22" s="14"/>
      <c r="N22" s="14"/>
    </row>
    <row r="23" spans="1:14" x14ac:dyDescent="0.2">
      <c r="A23" s="308">
        <f t="shared" si="1"/>
        <v>12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4862.4500000000007</v>
      </c>
      <c r="G23" s="308"/>
      <c r="H23" s="307" t="s">
        <v>249</v>
      </c>
      <c r="I23" s="312">
        <f>I25-SUM(I15:I22)</f>
        <v>44498.369999999646</v>
      </c>
      <c r="J23" s="303"/>
      <c r="K23" s="14"/>
      <c r="L23" s="14"/>
      <c r="M23" s="14"/>
      <c r="N23" s="14"/>
    </row>
    <row r="24" spans="1:14" x14ac:dyDescent="0.2">
      <c r="A24" s="308">
        <f t="shared" si="1"/>
        <v>8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18161.18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63000</v>
      </c>
      <c r="G25" s="308"/>
      <c r="H25" s="307" t="s">
        <v>192</v>
      </c>
      <c r="I25" s="312">
        <f>D43</f>
        <v>2746664.4399999995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237</v>
      </c>
      <c r="C26" s="266" t="s">
        <v>238</v>
      </c>
      <c r="D26" s="9">
        <f>'Obligations vs Bgt'!E26</f>
        <v>2719.4399999999996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14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2668.36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4930.8500000000004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20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19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330.13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10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10368.209999999997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3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209561.43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20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5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42289.5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2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453154.21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20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20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20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7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6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40468.53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20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17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1235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2746664.4399999995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-521497.18999999948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982654.50000000047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  <pageSetUpPr fitToPage="1"/>
  </sheetPr>
  <dimension ref="A1:Y39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337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1.0833333333333333</v>
      </c>
      <c r="W3" s="48"/>
      <c r="X3" s="1"/>
      <c r="Y3" s="1"/>
    </row>
    <row r="4" spans="1:25" ht="15.75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351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16087.46</v>
      </c>
      <c r="M14" s="70">
        <v>26242.2</v>
      </c>
      <c r="N14" s="70">
        <v>12540.29</v>
      </c>
      <c r="O14" s="70">
        <v>16452.79</v>
      </c>
      <c r="P14" s="70">
        <v>7224.9</v>
      </c>
      <c r="Q14" s="70">
        <f>'Fcst by Job Class'!S21</f>
        <v>0</v>
      </c>
      <c r="R14" s="70">
        <v>0</v>
      </c>
      <c r="S14" s="70">
        <f t="shared" ref="S14:S18" si="1">SUMIF($D$6:$R$6,$X$2,D14:R14)</f>
        <v>148877.66</v>
      </c>
      <c r="T14" s="70">
        <f t="shared" ref="T14:T18" si="2">SUM(D14:R14)</f>
        <v>148877.66</v>
      </c>
      <c r="U14" s="70">
        <v>233152</v>
      </c>
      <c r="V14" s="71">
        <f>IF(U14=0,0,SUMIF($D$6:$R$6,$X$2,D14:R14)/U14)</f>
        <v>0.63854335369201209</v>
      </c>
      <c r="W14" s="199">
        <f>IF(U14=0,0,T14/U14)</f>
        <v>0.63854335369201209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7.5</v>
      </c>
      <c r="M17" s="70">
        <v>11.5</v>
      </c>
      <c r="N17" s="70">
        <v>7.5</v>
      </c>
      <c r="O17" s="70">
        <v>7.5</v>
      </c>
      <c r="P17" s="70">
        <v>7.5</v>
      </c>
      <c r="Q17" s="70">
        <v>0</v>
      </c>
      <c r="R17" s="70">
        <v>0</v>
      </c>
      <c r="S17" s="70">
        <f t="shared" si="1"/>
        <v>47.5</v>
      </c>
      <c r="T17" s="70">
        <f t="shared" si="2"/>
        <v>47.5</v>
      </c>
      <c r="U17" s="70">
        <v>24</v>
      </c>
      <c r="V17" s="71">
        <f t="shared" si="3"/>
        <v>1.9791666666666667</v>
      </c>
      <c r="W17" s="199">
        <f t="shared" si="4"/>
        <v>1.9791666666666667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16094.96</v>
      </c>
      <c r="M20" s="91">
        <f t="shared" si="5"/>
        <v>26253.7</v>
      </c>
      <c r="N20" s="91">
        <f t="shared" si="5"/>
        <v>12547.79</v>
      </c>
      <c r="O20" s="91">
        <f t="shared" si="5"/>
        <v>16460.29</v>
      </c>
      <c r="P20" s="91">
        <f t="shared" si="5"/>
        <v>7232.4</v>
      </c>
      <c r="Q20" s="91">
        <f t="shared" si="5"/>
        <v>0</v>
      </c>
      <c r="R20" s="91">
        <f t="shared" si="5"/>
        <v>0</v>
      </c>
      <c r="S20" s="91">
        <f t="shared" si="5"/>
        <v>148925.16</v>
      </c>
      <c r="T20" s="91">
        <f t="shared" si="5"/>
        <v>148925.16</v>
      </c>
      <c r="U20" s="91">
        <f t="shared" si="5"/>
        <v>239176</v>
      </c>
      <c r="V20" s="92">
        <f>SUMIF($D$6:$R$6,$X$2,D20:R20)/U20</f>
        <v>0.62265929691942334</v>
      </c>
      <c r="W20" s="202">
        <f>T20/U20</f>
        <v>0.62265929691942334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-16094.96</v>
      </c>
      <c r="M23" s="91">
        <f t="shared" si="6"/>
        <v>-26253.7</v>
      </c>
      <c r="N23" s="91">
        <f t="shared" si="6"/>
        <v>-12547.79</v>
      </c>
      <c r="O23" s="91">
        <f t="shared" si="6"/>
        <v>-16460.29</v>
      </c>
      <c r="P23" s="91">
        <f t="shared" si="6"/>
        <v>-7232.4</v>
      </c>
      <c r="Q23" s="91">
        <f t="shared" si="6"/>
        <v>0</v>
      </c>
      <c r="R23" s="91">
        <f t="shared" si="6"/>
        <v>0</v>
      </c>
      <c r="S23" s="91">
        <f t="shared" si="6"/>
        <v>-148925.16</v>
      </c>
      <c r="T23" s="91">
        <f t="shared" si="6"/>
        <v>-148925.16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309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-86430.98000000001</v>
      </c>
      <c r="M25" s="130">
        <f t="shared" si="7"/>
        <v>-112684.68000000001</v>
      </c>
      <c r="N25" s="130">
        <f t="shared" si="7"/>
        <v>-125232.47</v>
      </c>
      <c r="O25" s="130">
        <f t="shared" si="7"/>
        <v>-141692.76</v>
      </c>
      <c r="P25" s="130">
        <f t="shared" si="7"/>
        <v>-148925.16</v>
      </c>
      <c r="Q25" s="130">
        <f t="shared" si="7"/>
        <v>-148925.16</v>
      </c>
      <c r="R25" s="130">
        <f t="shared" si="7"/>
        <v>-148925.16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299</v>
      </c>
      <c r="W27" s="350" t="s">
        <v>300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339</v>
      </c>
      <c r="Q28" s="176" t="s">
        <v>297</v>
      </c>
      <c r="R28" s="342"/>
      <c r="S28" s="343"/>
      <c r="T28" s="174" t="s">
        <v>338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342</v>
      </c>
      <c r="Q29" s="176" t="s">
        <v>297</v>
      </c>
      <c r="R29" s="342"/>
      <c r="S29" s="343"/>
      <c r="T29" s="368" t="s">
        <v>359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298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360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340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341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353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343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  <pageSetup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280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292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286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297</v>
      </c>
      <c r="B11" s="258" t="s">
        <v>319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307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321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285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284</v>
      </c>
      <c r="B20" s="255" t="s">
        <v>293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2025-09-05T17:21:04Z</cp:lastPrinted>
  <dcterms:created xsi:type="dcterms:W3CDTF">2015-04-28T12:49:55Z</dcterms:created>
  <dcterms:modified xsi:type="dcterms:W3CDTF">2025-09-07T17:30:17Z</dcterms:modified>
</cp:coreProperties>
</file>