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E4329699-50BB-47D1-B7DA-69BBA73A0DE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N25" i="9" l="1"/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O12" i="9"/>
  <c r="P12" i="9"/>
  <c r="Q12" i="9"/>
  <c r="R12" i="9"/>
  <c r="E14" i="9"/>
  <c r="F14" i="9"/>
  <c r="G14" i="9"/>
  <c r="H14" i="9"/>
  <c r="I14" i="9"/>
  <c r="J14" i="9"/>
  <c r="K14" i="9"/>
  <c r="L14" i="9"/>
  <c r="M14" i="9"/>
  <c r="O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<sst xmlns="http://schemas.openxmlformats.org/spreadsheetml/2006/main" count="984" uniqueCount="373">
  <si>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</si>
  <si>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</si>
  <si>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</si>
  <si>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</si>
  <si>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</si>
  <si>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</si>
  <si>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</si>
  <si>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</si>
  <si>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</si>
  <si>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</si>
  <si>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</si>
  <si>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</si>
  <si>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</si>
  <si>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</si>
  <si>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</si>
  <si>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</si>
  <si>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</si>
  <si>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</si>
  <si>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</si>
  <si>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</si>
  <si>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</si>
  <si>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</si>
  <si>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</si>
  <si>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</si>
  <si>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</si>
  <si>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</si>
  <si>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</si>
  <si>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</si>
  <si>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</si>
  <si>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</si>
  <si>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</si>
  <si>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</si>
  <si>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</si>
  <si>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</si>
  <si>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</si>
  <si>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</si>
  <si>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</si>
  <si>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</si>
  <si>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</si>
  <si>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</si>
  <si>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</si>
  <si>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</si>
  <si>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</si>
  <si>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</si>
  <si>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</si>
  <si>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</si>
  <si>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</si>
  <si>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</si>
  <si>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</si>
  <si>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</si>
  <si>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</si>
  <si>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</si>
  <si>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</si>
  <si>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</si>
  <si>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</si>
  <si>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</si>
  <si>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</si>
  <si>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</si>
  <si>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</si>
  <si>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</si>
  <si>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</si>
  <si>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</si>
  <si>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</si>
  <si>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</si>
  <si>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</si>
  <si>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</si>
  <si>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</si>
  <si>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</si>
  <si>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</si>
  <si>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</si>
  <si>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</si>
  <si>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</si>
  <si>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</si>
  <si>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</si>
  <si>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</si>
  <si>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</si>
  <si>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</si>
  <si>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</si>
  <si>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</si>
  <si>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</si>
  <si>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</si>
  <si>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</si>
  <si>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</si>
  <si>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</si>
  <si>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</si>
  <si>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</si>
  <si>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</si>
  <si>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</si>
  <si>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</si>
  <si>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</si>
  <si>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</si>
  <si>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</si>
  <si>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</si>
  <si>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</si>
  <si>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</si>
  <si>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</si>
  <si>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</si>
  <si>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</si>
  <si>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</si>
  <si>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</si>
  <si>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</si>
  <si>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</si>
  <si>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</si>
  <si>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</si>
  <si>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</si>
  <si>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</si>
  <si>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</si>
  <si>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</si>
  <si>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</si>
  <si>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</si>
  <si>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</si>
  <si>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</si>
  <si>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</si>
  <si>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</si>
  <si>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</si>
  <si>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</si>
  <si>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</si>
  <si>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</si>
  <si>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</si>
  <si>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</si>
  <si>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</si>
  <si>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</si>
  <si>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</si>
  <si>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</si>
  <si>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</si>
  <si>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</si>
  <si>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</si>
  <si>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</si>
  <si>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</si>
  <si>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</si>
  <si>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</si>
  <si>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</si>
  <si>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</si>
  <si>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</si>
  <si>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</si>
  <si>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</si>
  <si>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</si>
  <si>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</si>
  <si>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</si>
  <si>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</si>
  <si>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</si>
  <si>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</si>
  <si>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</si>
  <si>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</si>
  <si>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</si>
  <si>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</si>
  <si>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</si>
  <si>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</si>
  <si>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</si>
  <si>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</si>
  <si>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</si>
  <si>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</si>
  <si>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</si>
  <si>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</si>
  <si>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</si>
  <si>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</si>
  <si>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</si>
  <si>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</si>
  <si>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</si>
  <si>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</si>
  <si>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</si>
  <si>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</si>
  <si>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</si>
  <si>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</si>
  <si>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</si>
  <si>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</si>
  <si>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</si>
  <si>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</si>
  <si>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</si>
  <si>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</si>
  <si>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</si>
  <si>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</si>
  <si>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</si>
  <si>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</si>
  <si>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</si>
  <si>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</si>
  <si>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</si>
  <si>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</si>
  <si>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</si>
  <si>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</si>
  <si>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</si>
  <si>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</si>
  <si>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</si>
  <si>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</si>
  <si>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</si>
  <si>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</si>
  <si>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</si>
  <si>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</si>
  <si>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</si>
  <si>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</si>
  <si>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</si>
  <si>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</si>
  <si>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</si>
  <si>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</si>
  <si>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</si>
  <si>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</si>
  <si>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</si>
  <si>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</si>
  <si>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</si>
  <si>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</si>
  <si>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</si>
  <si>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</si>
  <si>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</si>
  <si>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</si>
  <si>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</si>
  <si>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</si>
  <si>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</si>
  <si>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</si>
  <si>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</si>
  <si>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</si>
  <si>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</si>
  <si>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</si>
  <si>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</si>
  <si>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</si>
  <si>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</si>
  <si>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</si>
  <si>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</si>
  <si>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</si>
  <si>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</si>
  <si>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</si>
  <si>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</si>
  <si>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</si>
  <si>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</si>
  <si>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</si>
  <si>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</si>
  <si>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</si>
  <si>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</si>
  <si>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</si>
  <si>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</si>
  <si>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</si>
  <si>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</si>
  <si>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</si>
  <si>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</si>
  <si>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</si>
  <si>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</si>
  <si>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</si>
  <si>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</si>
  <si>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</si>
  <si>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</si>
  <si>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</si>
  <si>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</si>
  <si>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</si>
  <si>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</si>
  <si>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</si>
  <si>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</si>
  <si>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</si>
  <si>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</si>
  <si>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</si>
  <si>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</si>
  <si>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</si>
  <si>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</si>
  <si>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</si>
  <si>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</si>
  <si>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</si>
  <si>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</si>
  <si>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</si>
  <si>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</si>
  <si>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</si>
  <si>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</si>
  <si>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</si>
  <si>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</si>
  <si>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</si>
  <si>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</si>
  <si>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</si>
  <si>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</si>
  <si>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</si>
  <si>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</si>
  <si>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</si>
  <si>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</si>
  <si>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</si>
  <si>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</si>
  <si>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</si>
  <si>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</si>
  <si>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</si>
  <si>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</si>
  <si>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</si>
  <si>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</si>
  <si>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</si>
  <si>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</si>
  <si>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</si>
  <si>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</si>
  <si>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</si>
  <si>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</si>
  <si>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</si>
  <si>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</si>
  <si>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</si>
  <si>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</si>
  <si>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</si>
  <si>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</si>
  <si>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</si>
  <si>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</si>
  <si>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</si>
  <si>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</si>
  <si>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</si>
  <si>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</si>
  <si>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</si>
  <si>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</si>
  <si>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</si>
  <si>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</si>
  <si>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</si>
  <si>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</si>
  <si>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</si>
  <si>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</si>
  <si>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</si>
  <si>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</si>
  <si>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</si>
  <si>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</si>
  <si>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</si>
  <si>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</si>
  <si>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</si>
  <si>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</si>
  <si>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</si>
  <si>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</si>
  <si>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</si>
  <si>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</si>
  <si>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</si>
  <si>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</si>
  <si>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</si>
  <si>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</si>
  <si>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</si>
  <si>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</si>
  <si>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</si>
  <si>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</si>
  <si>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</si>
  <si>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</si>
  <si>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</si>
  <si>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</si>
  <si>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</si>
  <si>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</si>
  <si>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</si>
  <si>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</si>
  <si>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</si>
  <si>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</si>
  <si>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</si>
  <si>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</si>
  <si>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</si>
  <si>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</si>
  <si>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</si>
  <si>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</si>
  <si>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</si>
  <si>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</si>
  <si>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</si>
  <si>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</si>
  <si>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</si>
  <si>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</si>
  <si>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</si>
  <si>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</si>
  <si>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</si>
  <si>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</si>
  <si>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</si>
  <si>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</si>
  <si>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</si>
  <si>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</si>
  <si>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</si>
  <si>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</si>
  <si>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</si>
  <si>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</si>
  <si>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</si>
  <si>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</si>
  <si>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</si>
  <si>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April have 3 payroll runs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</si>
  <si>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runs but the pay days are reflected in November and May.</t>
    </r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</si>
  <si>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</si>
  <si>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</si>
  <si>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</si>
  <si>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</si>
  <si>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</si>
  <si>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</si>
  <si>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</si>
  <si>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Actuals</t>
  </si>
  <si>
    <t>Period 11- May 2025</t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</si>
  <si>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history &amp; background checks, DIA services &amp; IDC (not taken until June 2025)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</si>
  <si>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not signed until June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</si>
</sst>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3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123095.25</c:v>
                </c:pt>
                <c:pt idx="8">
                  <c:v>120010</c:v>
                </c:pt>
                <c:pt idx="9">
                  <c:v>141172</c:v>
                </c:pt>
                <c:pt idx="10">
                  <c:v>167985.75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45595</c:v>
                </c:pt>
                <c:pt idx="8">
                  <c:v>41883.75</c:v>
                </c:pt>
                <c:pt idx="9">
                  <c:v>45897</c:v>
                </c:pt>
                <c:pt idx="10">
                  <c:v>47795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1659432.64</c:v>
                </c:pt>
                <c:pt idx="1">
                  <c:v>12282.18</c:v>
                </c:pt>
                <c:pt idx="2">
                  <c:v>1275.5899999999999</c:v>
                </c:pt>
                <c:pt idx="3">
                  <c:v>8210.619999999999</c:v>
                </c:pt>
                <c:pt idx="4">
                  <c:v>0</c:v>
                </c:pt>
                <c:pt idx="5">
                  <c:v>0</c:v>
                </c:pt>
                <c:pt idx="6">
                  <c:v>340</c:v>
                </c:pt>
                <c:pt idx="7">
                  <c:v>0</c:v>
                </c:pt>
                <c:pt idx="8">
                  <c:v>4215.6600000000008</c:v>
                </c:pt>
                <c:pt idx="9">
                  <c:v>14974.300000000001</c:v>
                </c:pt>
                <c:pt idx="10">
                  <c:v>52500</c:v>
                </c:pt>
                <c:pt idx="11">
                  <c:v>2353.0199999999995</c:v>
                </c:pt>
                <c:pt idx="12">
                  <c:v>2345.4</c:v>
                </c:pt>
                <c:pt idx="13">
                  <c:v>4317.43</c:v>
                </c:pt>
                <c:pt idx="14">
                  <c:v>0</c:v>
                </c:pt>
                <c:pt idx="15">
                  <c:v>330.13</c:v>
                </c:pt>
                <c:pt idx="16">
                  <c:v>8574.3399999999983</c:v>
                </c:pt>
                <c:pt idx="17">
                  <c:v>204347.87</c:v>
                </c:pt>
                <c:pt idx="18">
                  <c:v>0</c:v>
                </c:pt>
                <c:pt idx="19">
                  <c:v>112743.65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28570.06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30245250229997489"/>
          <c:y val="1.6186769832895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-7.5593371814245774E-2"/>
                  <c:y val="-0.109473711656870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2.3986407202363478E-2"/>
                  <c:y val="-7.5021972137675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IT Equipment &amp; Software</c:v>
                </c:pt>
                <c:pt idx="6">
                  <c:v>Communications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1659432.64</c:v>
                </c:pt>
                <c:pt idx="1">
                  <c:v>204347.87</c:v>
                </c:pt>
                <c:pt idx="2">
                  <c:v>112743.65</c:v>
                </c:pt>
                <c:pt idx="3">
                  <c:v>52500</c:v>
                </c:pt>
                <c:pt idx="4">
                  <c:v>28570.06</c:v>
                </c:pt>
                <c:pt idx="5">
                  <c:v>21494.880000000001</c:v>
                </c:pt>
                <c:pt idx="6">
                  <c:v>14974.300000000001</c:v>
                </c:pt>
                <c:pt idx="7">
                  <c:v>12282.18</c:v>
                </c:pt>
                <c:pt idx="8">
                  <c:v>33197.189999999944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03926018112111"/>
          <c:y val="5.4877878159249986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34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34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290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250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72" t="s">
        <v>358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7">
        <v>45817</v>
      </c>
      <c r="C9" s="417"/>
    </row>
    <row r="10" spans="1:16" x14ac:dyDescent="0.2">
      <c r="A10" s="26"/>
    </row>
    <row r="11" spans="1:16" ht="18.75" x14ac:dyDescent="0.2">
      <c r="A11" s="27" t="s">
        <v>90</v>
      </c>
      <c r="B11" s="28" t="s">
        <v>323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370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232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10">
        <f>'9397 BOEE'!O53</f>
        <v>1190033.6699999995</v>
      </c>
      <c r="F19" s="410">
        <v>1100000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1">
        <f>SUM(D19:D19)</f>
        <v>1190033.6699999995</v>
      </c>
      <c r="E20" s="412"/>
      <c r="F20" s="411">
        <f>SUM(F19:F19)</f>
        <v>1100000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346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350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8" t="s">
        <v>108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8" t="s">
        <v>91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8" t="s">
        <v>92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1:31" s="40" customFormat="1" ht="15" customHeight="1" x14ac:dyDescent="0.2">
      <c r="A43" s="419" t="s">
        <v>104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31" s="40" customFormat="1" ht="15" customHeight="1" x14ac:dyDescent="0.2">
      <c r="A44" s="420" t="s">
        <v>347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</row>
    <row r="47" spans="1:31" ht="18" customHeight="1" x14ac:dyDescent="0.2">
      <c r="A47" s="418" t="s">
        <v>93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31" ht="15" x14ac:dyDescent="0.2">
      <c r="A48" s="14"/>
      <c r="B48" s="413" t="s">
        <v>348</v>
      </c>
      <c r="C48" s="14"/>
      <c r="D48" s="414" t="s">
        <v>349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246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286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236</v>
      </c>
      <c r="B10" s="258" t="s">
        <v>242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297</v>
      </c>
      <c r="B11" s="258" t="s">
        <v>319</v>
      </c>
      <c r="C11" s="262">
        <v>9397</v>
      </c>
      <c r="D11" s="263">
        <v>1</v>
      </c>
      <c r="E11" s="259">
        <v>100000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307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321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5">
        <v>0</v>
      </c>
      <c r="R13" s="365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278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285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254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284</v>
      </c>
      <c r="B20" s="255" t="s">
        <v>293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248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247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123095.25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120010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1525553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45595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41883.75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509257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168690.25</v>
      </c>
      <c r="L17" s="101">
        <f t="shared" si="7"/>
        <v>161893.75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2034908.75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143544.82999999999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147154.97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1659432.64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793.7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391.5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12282.18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889.91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1275.5899999999999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306.33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1118.26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8210.619999999999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120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340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275.67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232.8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200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4215.6600000000008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894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2645.48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790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14974.300000000001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52500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161.47999999999999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161.47999999999999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2345.4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639.87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10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4317.43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330.13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286.57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283.07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500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8574.3399999999983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2072.54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2177.58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2000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204347.87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0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30922.57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112743.65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2228.79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3576.54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2000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28570.06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120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1235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187496.35000000003</v>
      </c>
      <c r="L50" s="101">
        <f t="shared" si="25"/>
        <v>158761.59000000003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82857</v>
      </c>
      <c r="Q50" s="101">
        <f t="shared" si="25"/>
        <v>0</v>
      </c>
      <c r="R50" s="101">
        <f t="shared" si="25"/>
        <v>0</v>
      </c>
      <c r="S50" s="101">
        <f t="shared" si="25"/>
        <v>2137189.7499999995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-18806.100000000035</v>
      </c>
      <c r="L52" s="101">
        <f t="shared" si="26"/>
        <v>3132.1599999999744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-82857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9264.5099999998929</v>
      </c>
      <c r="L53" s="130">
        <f t="shared" ref="L53" si="29">K53+L52</f>
        <v>12396.669999999867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 t="s">
        <v>344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0.91666666666666663</v>
      </c>
      <c r="W3" s="48"/>
    </row>
    <row r="4" spans="1:28" s="1" customFormat="1" ht="18" customHeight="1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82">
        <v>100000</v>
      </c>
      <c r="E8" s="382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239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-1000000</v>
      </c>
      <c r="R9" s="195"/>
      <c r="S9" s="198">
        <f>SUMIF($D$6:$R$6,$X$2,D9:R9)</f>
        <v>0</v>
      </c>
      <c r="T9" s="70">
        <f>SUM(D9:R9)</f>
        <v>-1100000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123095.25</v>
      </c>
      <c r="L12" s="70">
        <v>120010</v>
      </c>
      <c r="M12" s="70">
        <v>141172</v>
      </c>
      <c r="N12" s="70">
        <v>167985.75</v>
      </c>
      <c r="O12" s="70">
        <v>118000</v>
      </c>
      <c r="P12" s="70">
        <v>0</v>
      </c>
      <c r="Q12" s="70">
        <v>0</v>
      </c>
      <c r="R12" s="198">
        <v>0</v>
      </c>
      <c r="S12" s="198">
        <f>SUMIF($D$6:$R$6,$X$2,D12:R12)</f>
        <v>1525553</v>
      </c>
      <c r="T12" s="70">
        <f>SUM(D12:R12)</f>
        <v>1643553</v>
      </c>
      <c r="U12" s="70">
        <v>1800000</v>
      </c>
      <c r="V12" s="199">
        <f>IF(U12=0,0,SUMIF($D$6:$R$6,$X$2,D12:R12)/U12)</f>
        <v>0.84752944444444445</v>
      </c>
      <c r="W12" s="199">
        <f>IF(U12=0,0,T12/U12)</f>
        <v>0.91308500000000004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45595</v>
      </c>
      <c r="L14" s="70">
        <v>41883.75</v>
      </c>
      <c r="M14" s="70">
        <v>45897</v>
      </c>
      <c r="N14" s="70">
        <v>47795</v>
      </c>
      <c r="O14" s="70">
        <v>50500</v>
      </c>
      <c r="P14" s="70">
        <v>0</v>
      </c>
      <c r="Q14" s="70">
        <v>0</v>
      </c>
      <c r="R14" s="198">
        <v>0</v>
      </c>
      <c r="S14" s="198">
        <f>SUMIF($D$6:$R$6,$X$2,D14:R14)</f>
        <v>509257</v>
      </c>
      <c r="T14" s="70">
        <f>SUM(D14:R14)</f>
        <v>559757</v>
      </c>
      <c r="U14" s="70">
        <v>590000</v>
      </c>
      <c r="V14" s="199">
        <f>IF(U14=0,0,SUMIF($D$6:$R$6,$X$2,D14:R14)/U14)</f>
        <v>0.86314745762711864</v>
      </c>
      <c r="W14" s="199">
        <f>IF(U14=0,0,T14/U14)</f>
        <v>0.94874067796610173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1">
        <f>SUM(D8:D15)</f>
        <v>324016.75</v>
      </c>
      <c r="E16" s="381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168690.25</v>
      </c>
      <c r="L16" s="91">
        <f t="shared" si="0"/>
        <v>161893.75</v>
      </c>
      <c r="M16" s="91">
        <f t="shared" si="0"/>
        <v>187069</v>
      </c>
      <c r="N16" s="91">
        <f t="shared" si="0"/>
        <v>215780.75</v>
      </c>
      <c r="O16" s="91">
        <f t="shared" si="0"/>
        <v>168500</v>
      </c>
      <c r="P16" s="91">
        <v>-100000</v>
      </c>
      <c r="Q16" s="91">
        <v>-1000000</v>
      </c>
      <c r="R16" s="201">
        <f>SUM(R8:R15)</f>
        <v>0</v>
      </c>
      <c r="S16" s="201">
        <f t="shared" ref="S16:U16" si="1">SUM(S8:S15)</f>
        <v>3539060.44</v>
      </c>
      <c r="T16" s="91">
        <f t="shared" si="1"/>
        <v>2607560.44</v>
      </c>
      <c r="U16" s="91">
        <f t="shared" si="1"/>
        <v>2868462</v>
      </c>
      <c r="V16" s="202">
        <f>SUMIF($D$6:$R$6,$X$2,D16:R16)/U16</f>
        <v>1.233783274800224</v>
      </c>
      <c r="W16" s="202">
        <f>T16/U16</f>
        <v>0.90904479125050286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143544.82999999999</v>
      </c>
      <c r="L19" s="70">
        <v>147154.97</v>
      </c>
      <c r="M19" s="70">
        <v>233182.75</v>
      </c>
      <c r="N19" s="70">
        <v>115694.16</v>
      </c>
      <c r="O19" s="70">
        <v>147126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1659432.64</v>
      </c>
      <c r="T19" s="70">
        <f t="shared" ref="T19:T42" si="3">SUM(D19:R19)</f>
        <v>1878675.64</v>
      </c>
      <c r="U19" s="70">
        <v>1912643</v>
      </c>
      <c r="V19" s="199">
        <f>IF(U19=0,0,SUMIF($D$6:$R$6,$X$2,D19:R19)/U19)</f>
        <v>0.86761232493465845</v>
      </c>
      <c r="W19" s="199">
        <f>IF(U19=0,0,T19/U19)</f>
        <v>0.98224061678002628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793.7</v>
      </c>
      <c r="L20" s="70">
        <v>391.5</v>
      </c>
      <c r="M20" s="70">
        <v>3358.88</v>
      </c>
      <c r="N20" s="70">
        <v>1567.31</v>
      </c>
      <c r="O20" s="70">
        <v>0</v>
      </c>
      <c r="P20" s="70">
        <v>0</v>
      </c>
      <c r="Q20" s="198">
        <v>0</v>
      </c>
      <c r="R20" s="198">
        <v>0</v>
      </c>
      <c r="S20" s="198">
        <f t="shared" si="2"/>
        <v>12282.18</v>
      </c>
      <c r="T20" s="70">
        <f t="shared" si="3"/>
        <v>12282.18</v>
      </c>
      <c r="U20" s="198">
        <v>21000</v>
      </c>
      <c r="V20" s="199">
        <f t="shared" ref="V20:V42" si="4">IF(U20=0,0,SUMIF($D$6:$R$6,$X$2,D20:R20)/U20)</f>
        <v>0.58486571428571432</v>
      </c>
      <c r="W20" s="199">
        <f t="shared" ref="W20:W42" si="5">IF(U20=0,0,T20/U20)</f>
        <v>0.58486571428571432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889.91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1275.5899999999999</v>
      </c>
      <c r="T21" s="70">
        <f t="shared" ref="T21" si="7">SUM(D21:R21)</f>
        <v>1275.5899999999999</v>
      </c>
      <c r="U21" s="198">
        <v>20000</v>
      </c>
      <c r="V21" s="199">
        <f t="shared" ref="V21" si="8">IF(U21=0,0,SUMIF($D$6:$R$6,$X$2,D21:R21)/U21)</f>
        <v>6.3779499999999989E-2</v>
      </c>
      <c r="W21" s="199">
        <f t="shared" ref="W21" si="9">IF(U21=0,0,T21/U21)</f>
        <v>6.3779499999999989E-2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306.33</v>
      </c>
      <c r="L22" s="70">
        <v>1118.26</v>
      </c>
      <c r="M22" s="70">
        <v>6000</v>
      </c>
      <c r="N22" s="70">
        <v>70</v>
      </c>
      <c r="O22" s="70">
        <v>0</v>
      </c>
      <c r="P22" s="70">
        <v>0</v>
      </c>
      <c r="Q22" s="198">
        <v>0</v>
      </c>
      <c r="R22" s="198">
        <v>0</v>
      </c>
      <c r="S22" s="198">
        <f t="shared" si="2"/>
        <v>8210.619999999999</v>
      </c>
      <c r="T22" s="70">
        <f t="shared" si="3"/>
        <v>8210.619999999999</v>
      </c>
      <c r="U22" s="198">
        <v>10500</v>
      </c>
      <c r="V22" s="199">
        <f t="shared" si="4"/>
        <v>0.78196380952380939</v>
      </c>
      <c r="W22" s="199">
        <f t="shared" si="5"/>
        <v>0.78196380952380939</v>
      </c>
      <c r="X22" s="206"/>
      <c r="Y22" s="317"/>
    </row>
    <row r="23" spans="1:28" s="14" customFormat="1" x14ac:dyDescent="0.2">
      <c r="A23" s="193" t="s">
        <v>234</v>
      </c>
      <c r="B23" s="193" t="s">
        <v>235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120</v>
      </c>
      <c r="L25" s="70">
        <v>0</v>
      </c>
      <c r="M25" s="70">
        <v>41</v>
      </c>
      <c r="N25" s="70">
        <v>139</v>
      </c>
      <c r="O25" s="70">
        <v>0</v>
      </c>
      <c r="P25" s="70">
        <v>0</v>
      </c>
      <c r="Q25" s="198">
        <v>0</v>
      </c>
      <c r="R25" s="198">
        <v>0</v>
      </c>
      <c r="S25" s="198">
        <f t="shared" si="2"/>
        <v>340</v>
      </c>
      <c r="T25" s="70">
        <f t="shared" si="3"/>
        <v>340</v>
      </c>
      <c r="U25" s="198">
        <v>3500</v>
      </c>
      <c r="V25" s="199">
        <f t="shared" si="4"/>
        <v>9.7142857142857142E-2</v>
      </c>
      <c r="W25" s="199">
        <f t="shared" si="5"/>
        <v>9.7142857142857142E-2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275.67</v>
      </c>
      <c r="L27" s="70">
        <v>232.8</v>
      </c>
      <c r="M27" s="70">
        <v>360.65</v>
      </c>
      <c r="N27" s="70">
        <v>377.01</v>
      </c>
      <c r="O27" s="70">
        <v>350</v>
      </c>
      <c r="P27" s="70">
        <v>200</v>
      </c>
      <c r="Q27" s="198">
        <v>0</v>
      </c>
      <c r="R27" s="198">
        <v>0</v>
      </c>
      <c r="S27" s="198">
        <f t="shared" si="2"/>
        <v>4215.6600000000008</v>
      </c>
      <c r="T27" s="70">
        <f t="shared" si="3"/>
        <v>4765.6600000000008</v>
      </c>
      <c r="U27" s="198">
        <v>12500</v>
      </c>
      <c r="V27" s="199">
        <f t="shared" si="4"/>
        <v>0.33725280000000007</v>
      </c>
      <c r="W27" s="199">
        <f t="shared" si="5"/>
        <v>0.38125280000000006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894</v>
      </c>
      <c r="L28" s="70">
        <v>2645.48</v>
      </c>
      <c r="M28" s="70">
        <v>1682.94</v>
      </c>
      <c r="N28" s="70">
        <v>894</v>
      </c>
      <c r="O28" s="70">
        <v>1580</v>
      </c>
      <c r="P28" s="70">
        <v>790</v>
      </c>
      <c r="Q28" s="198">
        <v>0</v>
      </c>
      <c r="R28" s="198">
        <v>0</v>
      </c>
      <c r="S28" s="198">
        <f t="shared" si="2"/>
        <v>14974.300000000001</v>
      </c>
      <c r="T28" s="70">
        <f t="shared" si="3"/>
        <v>17344.300000000003</v>
      </c>
      <c r="U28" s="198">
        <v>20000.11</v>
      </c>
      <c r="V28" s="199">
        <f t="shared" si="4"/>
        <v>0.74871088209014858</v>
      </c>
      <c r="W28" s="199">
        <f t="shared" si="5"/>
        <v>0.86721023034373323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0</v>
      </c>
      <c r="M29" s="70">
        <v>10500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52500</v>
      </c>
      <c r="T29" s="70">
        <f t="shared" si="3"/>
        <v>63000</v>
      </c>
      <c r="U29" s="198">
        <v>71500</v>
      </c>
      <c r="V29" s="199">
        <f t="shared" si="4"/>
        <v>0.73426573426573427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237</v>
      </c>
      <c r="B30" s="193" t="s">
        <v>238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384</v>
      </c>
      <c r="L30" s="70">
        <v>337.18</v>
      </c>
      <c r="M30" s="70">
        <v>246.69</v>
      </c>
      <c r="N30" s="70">
        <v>220.66</v>
      </c>
      <c r="O30" s="70">
        <v>400</v>
      </c>
      <c r="P30" s="70">
        <v>200</v>
      </c>
      <c r="Q30" s="198">
        <v>0</v>
      </c>
      <c r="R30" s="198"/>
      <c r="S30" s="198">
        <f t="shared" ref="S30" si="18">SUMIF($D$6:$R$6,$X$2,D30:R30)</f>
        <v>2353.0199999999995</v>
      </c>
      <c r="T30" s="70">
        <f t="shared" ref="T30" si="19">SUM(D30:R30)</f>
        <v>2953.0199999999995</v>
      </c>
      <c r="U30" s="198">
        <v>4000.25</v>
      </c>
      <c r="V30" s="199">
        <f t="shared" ref="V30" si="20">IF(U30=0,0,SUMIF($D$6:$R$6,$X$2,D30:R30)/U30)</f>
        <v>0.58821823636022741</v>
      </c>
      <c r="W30" s="199">
        <f t="shared" ref="W30" si="21">IF(U30=0,0,T30/U30)</f>
        <v>0.73820886194612823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161.47999999999999</v>
      </c>
      <c r="L31" s="70">
        <v>161.47999999999999</v>
      </c>
      <c r="M31" s="70">
        <v>0</v>
      </c>
      <c r="N31" s="70">
        <v>0</v>
      </c>
      <c r="O31" s="70">
        <v>0</v>
      </c>
      <c r="P31" s="70">
        <v>0</v>
      </c>
      <c r="Q31" s="198">
        <v>0</v>
      </c>
      <c r="R31" s="198">
        <v>0</v>
      </c>
      <c r="S31" s="198">
        <f t="shared" si="2"/>
        <v>2345.4</v>
      </c>
      <c r="T31" s="70">
        <f t="shared" si="3"/>
        <v>2345.4</v>
      </c>
      <c r="U31" s="198">
        <v>5000</v>
      </c>
      <c r="V31" s="199">
        <f t="shared" si="4"/>
        <v>0.46908</v>
      </c>
      <c r="W31" s="199">
        <f t="shared" si="5"/>
        <v>0.46908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639.87</v>
      </c>
      <c r="L32" s="70">
        <v>10</v>
      </c>
      <c r="M32" s="70">
        <v>737</v>
      </c>
      <c r="N32" s="70">
        <v>373.5</v>
      </c>
      <c r="O32" s="70">
        <v>0</v>
      </c>
      <c r="P32" s="70">
        <v>0</v>
      </c>
      <c r="Q32" s="198">
        <v>0</v>
      </c>
      <c r="R32" s="198">
        <v>0</v>
      </c>
      <c r="S32" s="198">
        <f t="shared" si="2"/>
        <v>4317.43</v>
      </c>
      <c r="T32" s="70">
        <f t="shared" si="3"/>
        <v>4317.43</v>
      </c>
      <c r="U32" s="198">
        <v>6000</v>
      </c>
      <c r="V32" s="199">
        <f t="shared" si="4"/>
        <v>0.71957166666666672</v>
      </c>
      <c r="W32" s="199">
        <f t="shared" si="5"/>
        <v>0.71957166666666672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118.23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330.13</v>
      </c>
      <c r="T34" s="70">
        <f t="shared" si="3"/>
        <v>330.13</v>
      </c>
      <c r="U34" s="198">
        <v>1000</v>
      </c>
      <c r="V34" s="199">
        <f t="shared" si="4"/>
        <v>0.33012999999999998</v>
      </c>
      <c r="W34" s="199">
        <f t="shared" si="5"/>
        <v>0.33012999999999998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286.57</v>
      </c>
      <c r="L35" s="70">
        <v>283.07</v>
      </c>
      <c r="M35" s="70">
        <v>1241.32</v>
      </c>
      <c r="N35" s="70">
        <v>279.57</v>
      </c>
      <c r="O35" s="70">
        <v>500</v>
      </c>
      <c r="P35" s="70">
        <v>500</v>
      </c>
      <c r="Q35" s="198">
        <v>0</v>
      </c>
      <c r="R35" s="198">
        <v>0</v>
      </c>
      <c r="S35" s="198">
        <f t="shared" si="2"/>
        <v>8574.3399999999983</v>
      </c>
      <c r="T35" s="70">
        <f t="shared" si="3"/>
        <v>9574.3399999999983</v>
      </c>
      <c r="U35" s="70">
        <v>8000</v>
      </c>
      <c r="V35" s="199">
        <f t="shared" si="4"/>
        <v>1.0717924999999997</v>
      </c>
      <c r="W35" s="199">
        <f t="shared" si="5"/>
        <v>1.1967924999999997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2072.54</v>
      </c>
      <c r="L36" s="70">
        <v>2177.58</v>
      </c>
      <c r="M36" s="70">
        <v>1980.96</v>
      </c>
      <c r="N36" s="70">
        <v>1985.38</v>
      </c>
      <c r="O36" s="70">
        <v>2000</v>
      </c>
      <c r="P36" s="70">
        <v>2000</v>
      </c>
      <c r="Q36" s="198">
        <v>0</v>
      </c>
      <c r="R36" s="198">
        <v>0</v>
      </c>
      <c r="S36" s="198">
        <f t="shared" si="2"/>
        <v>204347.87</v>
      </c>
      <c r="T36" s="70">
        <f t="shared" si="3"/>
        <v>208347.87</v>
      </c>
      <c r="U36" s="70">
        <v>210000</v>
      </c>
      <c r="V36" s="199">
        <f t="shared" si="4"/>
        <v>0.97308509523809517</v>
      </c>
      <c r="W36" s="199">
        <f t="shared" si="5"/>
        <v>0.99213271428571426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56184</v>
      </c>
      <c r="P38" s="70">
        <v>0</v>
      </c>
      <c r="Q38" s="198">
        <v>0</v>
      </c>
      <c r="R38" s="198">
        <v>0</v>
      </c>
      <c r="S38" s="198">
        <f t="shared" si="2"/>
        <v>0</v>
      </c>
      <c r="T38" s="70">
        <f t="shared" si="3"/>
        <v>56184</v>
      </c>
      <c r="U38" s="70">
        <v>54000</v>
      </c>
      <c r="V38" s="199">
        <f t="shared" si="4"/>
        <v>0</v>
      </c>
      <c r="W38" s="199">
        <f t="shared" si="5"/>
        <v>1.0404444444444445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30922.57</v>
      </c>
      <c r="L39" s="70">
        <v>0</v>
      </c>
      <c r="M39" s="70">
        <v>24658.57</v>
      </c>
      <c r="N39" s="70">
        <v>0</v>
      </c>
      <c r="O39" s="70">
        <v>162594</v>
      </c>
      <c r="P39" s="70">
        <v>0</v>
      </c>
      <c r="Q39" s="198">
        <v>0</v>
      </c>
      <c r="R39" s="198">
        <v>0</v>
      </c>
      <c r="S39" s="198">
        <f t="shared" si="2"/>
        <v>112743.65</v>
      </c>
      <c r="T39" s="70">
        <f t="shared" si="3"/>
        <v>275337.65000000002</v>
      </c>
      <c r="U39" s="70">
        <v>320000</v>
      </c>
      <c r="V39" s="199">
        <f t="shared" si="4"/>
        <v>0.35232390624999999</v>
      </c>
      <c r="W39" s="199">
        <f t="shared" si="5"/>
        <v>0.86043015625000008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2228.79</v>
      </c>
      <c r="L44" s="70">
        <v>3576.54</v>
      </c>
      <c r="M44" s="70">
        <v>2886.14</v>
      </c>
      <c r="N44" s="70">
        <v>3034.05</v>
      </c>
      <c r="O44" s="70">
        <v>2000</v>
      </c>
      <c r="P44" s="70">
        <v>2000</v>
      </c>
      <c r="Q44" s="198">
        <v>0</v>
      </c>
      <c r="R44" s="198">
        <v>0</v>
      </c>
      <c r="S44" s="198">
        <f t="shared" si="30"/>
        <v>28570.06</v>
      </c>
      <c r="T44" s="70">
        <f t="shared" si="31"/>
        <v>32570.06</v>
      </c>
      <c r="U44" s="198">
        <v>42000</v>
      </c>
      <c r="V44" s="199">
        <f t="shared" si="32"/>
        <v>0.68023952380952379</v>
      </c>
      <c r="W44" s="199">
        <f t="shared" si="33"/>
        <v>0.77547761904761903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120</v>
      </c>
      <c r="M46" s="198">
        <v>550</v>
      </c>
      <c r="N46" s="198">
        <v>565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1235</v>
      </c>
      <c r="T46" s="70">
        <f t="shared" si="31"/>
        <v>1235</v>
      </c>
      <c r="U46" s="198">
        <v>5000</v>
      </c>
      <c r="V46" s="199">
        <f t="shared" si="32"/>
        <v>0.247</v>
      </c>
      <c r="W46" s="199">
        <f t="shared" si="33"/>
        <v>0.247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187880.35000000003</v>
      </c>
      <c r="L48" s="201">
        <f t="shared" si="38"/>
        <v>159098.77000000002</v>
      </c>
      <c r="M48" s="201">
        <f t="shared" si="38"/>
        <v>287545.13</v>
      </c>
      <c r="N48" s="201">
        <f t="shared" si="38"/>
        <v>130449.64000000001</v>
      </c>
      <c r="O48" s="201">
        <f t="shared" si="38"/>
        <v>377984</v>
      </c>
      <c r="P48" s="201">
        <f t="shared" si="38"/>
        <v>83057</v>
      </c>
      <c r="Q48" s="201">
        <f t="shared" si="38"/>
        <v>0</v>
      </c>
      <c r="R48" s="201">
        <f t="shared" si="38"/>
        <v>0</v>
      </c>
      <c r="S48" s="201">
        <f t="shared" si="38"/>
        <v>2139542.7699999996</v>
      </c>
      <c r="T48" s="91">
        <f t="shared" si="38"/>
        <v>2600583.7699999996</v>
      </c>
      <c r="U48" s="201">
        <f t="shared" si="38"/>
        <v>2785111.0300000003</v>
      </c>
      <c r="V48" s="202">
        <f>SUMIF($D$6:$R$6,$X$2,D48:R48)/U48</f>
        <v>0.76820735222178926</v>
      </c>
      <c r="W48" s="202">
        <f>T48/U48</f>
        <v>0.933745097408199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3">
        <f t="shared" ref="D51:U51" si="39">D16-D48</f>
        <v>233835.78999999998</v>
      </c>
      <c r="E51" s="383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-19190.100000000035</v>
      </c>
      <c r="L51" s="201">
        <f t="shared" si="39"/>
        <v>2794.9799999999814</v>
      </c>
      <c r="M51" s="201">
        <f t="shared" si="39"/>
        <v>-100476.13</v>
      </c>
      <c r="N51" s="201">
        <f t="shared" si="39"/>
        <v>85331.109999999986</v>
      </c>
      <c r="O51" s="201">
        <f t="shared" si="39"/>
        <v>-209484</v>
      </c>
      <c r="P51" s="201">
        <f t="shared" si="39"/>
        <v>-183057</v>
      </c>
      <c r="Q51" s="201">
        <f t="shared" si="39"/>
        <v>-1000000</v>
      </c>
      <c r="R51" s="201">
        <f t="shared" si="39"/>
        <v>0</v>
      </c>
      <c r="S51" s="201">
        <f t="shared" si="39"/>
        <v>1399517.6700000004</v>
      </c>
      <c r="T51" s="91">
        <f t="shared" si="39"/>
        <v>6976.6700000003912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309</v>
      </c>
      <c r="B52" s="200"/>
      <c r="C52" s="200"/>
      <c r="D52" s="383"/>
      <c r="E52" s="383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4">
        <f>D16-D48</f>
        <v>233835.78999999998</v>
      </c>
      <c r="E53" s="384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1411867.7099999997</v>
      </c>
      <c r="L53" s="210">
        <f t="shared" si="40"/>
        <v>1414662.6899999997</v>
      </c>
      <c r="M53" s="210">
        <f t="shared" si="40"/>
        <v>1314186.5599999996</v>
      </c>
      <c r="N53" s="210">
        <f t="shared" si="40"/>
        <v>1399517.6699999995</v>
      </c>
      <c r="O53" s="210">
        <f t="shared" si="40"/>
        <v>1190033.6699999995</v>
      </c>
      <c r="P53" s="210">
        <f t="shared" si="40"/>
        <v>1006976.6699999995</v>
      </c>
      <c r="Q53" s="210">
        <f t="shared" si="40"/>
        <v>6976.6699999994598</v>
      </c>
      <c r="R53" s="210">
        <f t="shared" si="40"/>
        <v>6976.6699999994598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2" t="s">
        <v>299</v>
      </c>
      <c r="W55" s="350" t="s">
        <v>300</v>
      </c>
      <c r="X55" s="184"/>
      <c r="Y55" s="106"/>
      <c r="Z55" s="107"/>
      <c r="AA55" s="14"/>
      <c r="AB55" s="14"/>
    </row>
    <row r="56" spans="1:28" ht="18" x14ac:dyDescent="0.25">
      <c r="A56" s="298" t="s">
        <v>240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166</v>
      </c>
      <c r="N56" s="340"/>
      <c r="O56" s="166"/>
      <c r="P56" s="341" t="s">
        <v>265</v>
      </c>
      <c r="Q56" s="175" t="s">
        <v>129</v>
      </c>
      <c r="R56" s="342"/>
      <c r="S56" s="343"/>
      <c r="T56" s="78" t="s">
        <v>308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283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261</v>
      </c>
      <c r="M57" s="163" t="s">
        <v>301</v>
      </c>
      <c r="N57" s="238"/>
      <c r="O57" s="170"/>
      <c r="P57" s="341" t="s">
        <v>267</v>
      </c>
      <c r="Q57" s="176" t="s">
        <v>129</v>
      </c>
      <c r="R57" s="342"/>
      <c r="S57" s="343"/>
      <c r="T57" s="174" t="s">
        <v>153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262</v>
      </c>
      <c r="M58" s="163" t="s">
        <v>301</v>
      </c>
      <c r="N58" s="239"/>
      <c r="O58" s="170"/>
      <c r="P58" s="341" t="s">
        <v>263</v>
      </c>
      <c r="Q58" s="176" t="s">
        <v>129</v>
      </c>
      <c r="R58" s="342"/>
      <c r="S58" s="343"/>
      <c r="T58" s="163" t="s">
        <v>154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257</v>
      </c>
      <c r="M59" s="78" t="s">
        <v>320</v>
      </c>
      <c r="N59" s="366"/>
      <c r="O59" s="174"/>
      <c r="P59" s="341" t="s">
        <v>266</v>
      </c>
      <c r="Q59" s="176" t="s">
        <v>129</v>
      </c>
      <c r="R59" s="342"/>
      <c r="S59" s="343"/>
      <c r="T59" s="163" t="s">
        <v>286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361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260</v>
      </c>
      <c r="M60" s="78" t="s">
        <v>301</v>
      </c>
      <c r="N60" s="366"/>
      <c r="O60" s="174"/>
      <c r="P60" s="345" t="s">
        <v>264</v>
      </c>
      <c r="Q60" s="176" t="s">
        <v>156</v>
      </c>
      <c r="R60" s="342"/>
      <c r="S60" s="343"/>
      <c r="T60" s="174" t="s">
        <v>155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281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258</v>
      </c>
      <c r="M61" s="78" t="s">
        <v>165</v>
      </c>
      <c r="N61" s="366"/>
      <c r="O61" s="174"/>
      <c r="P61" s="346" t="s">
        <v>268</v>
      </c>
      <c r="Q61" s="176" t="s">
        <v>236</v>
      </c>
      <c r="R61" s="342"/>
      <c r="S61" s="343"/>
      <c r="T61" s="174" t="s">
        <v>242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366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256</v>
      </c>
      <c r="M62" s="78" t="s">
        <v>289</v>
      </c>
      <c r="N62" s="366"/>
      <c r="O62" s="217"/>
      <c r="P62" s="346" t="s">
        <v>310</v>
      </c>
      <c r="Q62" s="176" t="s">
        <v>297</v>
      </c>
      <c r="R62" s="342"/>
      <c r="S62" s="343"/>
      <c r="T62" s="368" t="s">
        <v>319</v>
      </c>
      <c r="U62" s="369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317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259</v>
      </c>
      <c r="M63" s="78" t="s">
        <v>255</v>
      </c>
      <c r="N63" s="367"/>
      <c r="O63" s="181"/>
      <c r="P63" s="331" t="s">
        <v>270</v>
      </c>
      <c r="Q63" s="175" t="s">
        <v>157</v>
      </c>
      <c r="R63" s="342"/>
      <c r="S63" s="343"/>
      <c r="T63" s="163" t="s">
        <v>307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331</v>
      </c>
      <c r="C64" s="77"/>
      <c r="D64" s="34"/>
      <c r="E64" s="34"/>
      <c r="F64" s="34"/>
      <c r="G64" s="34"/>
      <c r="H64" s="34"/>
      <c r="I64" s="34"/>
      <c r="J64" s="34"/>
      <c r="K64" s="323"/>
      <c r="L64" s="415" t="s">
        <v>362</v>
      </c>
      <c r="M64" s="78" t="s">
        <v>354</v>
      </c>
      <c r="N64" s="367"/>
      <c r="O64" s="181"/>
      <c r="P64" s="331" t="s">
        <v>271</v>
      </c>
      <c r="Q64" s="175" t="s">
        <v>157</v>
      </c>
      <c r="R64" s="342"/>
      <c r="S64" s="343"/>
      <c r="T64" s="163" t="s">
        <v>335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5" t="s">
        <v>288</v>
      </c>
      <c r="M65" s="78" t="s">
        <v>245</v>
      </c>
      <c r="N65" s="367"/>
      <c r="O65" s="164"/>
      <c r="P65" s="331" t="s">
        <v>272</v>
      </c>
      <c r="Q65" s="175" t="s">
        <v>157</v>
      </c>
      <c r="R65" s="342"/>
      <c r="S65" s="343"/>
      <c r="T65" s="163" t="s">
        <v>334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287</v>
      </c>
      <c r="C66" s="34"/>
      <c r="D66" s="34"/>
      <c r="E66" s="34"/>
      <c r="F66" s="34"/>
      <c r="G66" s="34"/>
      <c r="H66" s="34"/>
      <c r="I66" s="34"/>
      <c r="J66" s="34"/>
      <c r="K66" s="323"/>
      <c r="L66" s="415" t="s">
        <v>363</v>
      </c>
      <c r="M66" s="78" t="s">
        <v>356</v>
      </c>
      <c r="N66" s="366"/>
      <c r="O66" s="164"/>
      <c r="P66" s="331" t="s">
        <v>273</v>
      </c>
      <c r="Q66" s="175" t="s">
        <v>157</v>
      </c>
      <c r="R66" s="342"/>
      <c r="S66" s="343"/>
      <c r="T66" s="163" t="s">
        <v>159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367</v>
      </c>
      <c r="C67" s="34"/>
      <c r="D67" s="34"/>
      <c r="E67" s="34"/>
      <c r="F67" s="34"/>
      <c r="G67" s="34"/>
      <c r="H67" s="34"/>
      <c r="I67" s="34"/>
      <c r="J67" s="34"/>
      <c r="K67" s="323"/>
      <c r="L67" s="415" t="s">
        <v>279</v>
      </c>
      <c r="M67" s="78" t="s">
        <v>313</v>
      </c>
      <c r="N67" s="367"/>
      <c r="O67" s="164"/>
      <c r="P67" s="331" t="s">
        <v>269</v>
      </c>
      <c r="Q67" s="175" t="s">
        <v>251</v>
      </c>
      <c r="R67" s="342"/>
      <c r="S67" s="343"/>
      <c r="T67" s="174" t="s">
        <v>158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1" t="s">
        <v>336</v>
      </c>
      <c r="C68" s="34"/>
      <c r="D68" s="34"/>
      <c r="E68" s="34"/>
      <c r="F68" s="34"/>
      <c r="G68" s="34"/>
      <c r="H68" s="34"/>
      <c r="I68" s="34"/>
      <c r="J68" s="34"/>
      <c r="K68" s="34"/>
      <c r="L68" s="415" t="s">
        <v>364</v>
      </c>
      <c r="M68" s="78" t="s">
        <v>357</v>
      </c>
      <c r="N68" s="367"/>
      <c r="O68" s="164"/>
      <c r="P68" s="331" t="s">
        <v>274</v>
      </c>
      <c r="Q68" s="175" t="s">
        <v>162</v>
      </c>
      <c r="R68" s="342"/>
      <c r="S68" s="343"/>
      <c r="T68" s="163" t="s">
        <v>161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372</v>
      </c>
      <c r="C69" s="34"/>
      <c r="D69" s="34"/>
      <c r="E69" s="34"/>
      <c r="F69" s="34"/>
      <c r="G69" s="34"/>
      <c r="H69" s="34"/>
      <c r="I69" s="34"/>
      <c r="J69" s="34"/>
      <c r="K69" s="323"/>
      <c r="L69" s="336" t="s">
        <v>365</v>
      </c>
      <c r="M69" s="416" t="s">
        <v>368</v>
      </c>
      <c r="N69" s="240"/>
      <c r="O69" s="164"/>
      <c r="P69" s="331" t="s">
        <v>275</v>
      </c>
      <c r="Q69" s="175" t="s">
        <v>163</v>
      </c>
      <c r="R69" s="342"/>
      <c r="S69" s="343"/>
      <c r="T69" s="174" t="s">
        <v>302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371</v>
      </c>
      <c r="C70" s="34"/>
      <c r="D70" s="34"/>
      <c r="E70" s="34"/>
      <c r="F70" s="34"/>
      <c r="G70" s="34"/>
      <c r="H70" s="34"/>
      <c r="I70" s="34"/>
      <c r="J70" s="34"/>
      <c r="K70" s="34"/>
      <c r="L70" s="351"/>
      <c r="M70" s="352" t="s">
        <v>294</v>
      </c>
      <c r="N70" s="353">
        <f>COUNTA(M57:M69)</f>
        <v>13</v>
      </c>
      <c r="O70" s="164"/>
      <c r="P70" s="336" t="s">
        <v>276</v>
      </c>
      <c r="Q70" s="361" t="s">
        <v>164</v>
      </c>
      <c r="R70" s="355"/>
      <c r="S70" s="356"/>
      <c r="T70" s="358" t="s">
        <v>254</v>
      </c>
      <c r="U70" s="356"/>
      <c r="V70" s="361">
        <v>1</v>
      </c>
      <c r="W70" s="363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332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7"/>
      <c r="R71" s="357"/>
      <c r="S71" s="358"/>
      <c r="T71" s="358"/>
      <c r="U71" s="359" t="s">
        <v>298</v>
      </c>
      <c r="V71" s="360">
        <f>SUM(V56:V70)</f>
        <v>15</v>
      </c>
      <c r="W71" s="364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333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345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227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305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311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303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295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0">
        <v>414</v>
      </c>
      <c r="B86" s="78" t="s">
        <v>316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0"/>
      <c r="B87" s="78" t="s">
        <v>318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1" t="s">
        <v>296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282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312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306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315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314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304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2"/>
      <c r="B46" s="422"/>
      <c r="C46" s="164"/>
      <c r="D46" s="422"/>
      <c r="E46" s="422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2"/>
      <c r="B47" s="422"/>
      <c r="C47" s="164"/>
      <c r="D47" s="422"/>
      <c r="E47" s="422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2"/>
      <c r="B48" s="422"/>
      <c r="C48" s="164"/>
      <c r="D48" s="422"/>
      <c r="E48" s="422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2"/>
      <c r="B49" s="422"/>
      <c r="C49" s="164"/>
      <c r="D49" s="422"/>
      <c r="E49" s="422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2"/>
      <c r="B52" s="422"/>
      <c r="C52" s="174"/>
      <c r="D52" s="422"/>
      <c r="E52" s="422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2"/>
      <c r="B53" s="422"/>
      <c r="C53" s="172"/>
      <c r="D53" s="422"/>
      <c r="E53" s="422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240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241</v>
      </c>
      <c r="C57" s="172"/>
      <c r="D57" s="422"/>
      <c r="E57" s="422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2"/>
      <c r="B58" s="422"/>
      <c r="C58" s="163"/>
      <c r="D58" s="422"/>
      <c r="E58" s="422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>
      <selection activeCell="B1" sqref="B1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291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252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253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369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123095.25</v>
      </c>
      <c r="L12" s="9">
        <f>IF(L$6="Actual",'9397 BOEE'!L12,0)</f>
        <v>120010</v>
      </c>
      <c r="M12" s="9">
        <f>IF(M$6="Actual",'9397 BOEE'!M12,0)</f>
        <v>141172</v>
      </c>
      <c r="N12" s="9">
        <v>167985.75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1525553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45595</v>
      </c>
      <c r="L14" s="9">
        <f>IF(L$6="Actual",'9397 BOEE'!L14,0)</f>
        <v>41883.75</v>
      </c>
      <c r="M14" s="9">
        <f>IF(M$6="Actual",'9397 BOEE'!M14,0)</f>
        <v>45897</v>
      </c>
      <c r="N14" s="9">
        <v>47795</v>
      </c>
      <c r="O14" s="9">
        <f>IF(O$6="Actual",'9397 BOEE'!O14,0)</f>
        <v>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509257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168690.25</v>
      </c>
      <c r="L16" s="201">
        <f t="shared" si="2"/>
        <v>161893.75</v>
      </c>
      <c r="M16" s="201">
        <f t="shared" si="2"/>
        <v>187069</v>
      </c>
      <c r="N16" s="201">
        <f t="shared" si="2"/>
        <v>215780.75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2034908.75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8"/>
      <c r="E18" s="378">
        <v>21.25</v>
      </c>
      <c r="F18" s="378"/>
      <c r="G18" s="378"/>
      <c r="H18" s="378"/>
      <c r="I18" s="378"/>
      <c r="J18" s="378"/>
      <c r="K18" s="378">
        <v>0</v>
      </c>
      <c r="L18" s="378">
        <v>0</v>
      </c>
      <c r="M18" s="378"/>
      <c r="N18" s="378"/>
      <c r="O18" s="378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352</v>
      </c>
      <c r="D19" s="385">
        <v>55051.25</v>
      </c>
      <c r="E19" s="385">
        <v>64820</v>
      </c>
      <c r="F19" s="385">
        <v>37046.25</v>
      </c>
      <c r="G19" s="385">
        <v>39422.5</v>
      </c>
      <c r="H19" s="385">
        <v>30771.25</v>
      </c>
      <c r="I19" s="385">
        <v>32431.25</v>
      </c>
      <c r="J19" s="385">
        <v>46966.25</v>
      </c>
      <c r="K19" s="385">
        <v>38823.75</v>
      </c>
      <c r="L19" s="385">
        <v>37746.25</v>
      </c>
      <c r="M19" s="385">
        <v>44360</v>
      </c>
      <c r="N19" s="385">
        <v>52801.25</v>
      </c>
      <c r="O19" s="385">
        <v>0</v>
      </c>
      <c r="P19" s="293"/>
      <c r="Q19" s="293"/>
      <c r="R19" s="293"/>
      <c r="S19" s="294">
        <f t="shared" si="3"/>
        <v>480240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7">
        <f>SUM(D18:D20)</f>
        <v>55051.25</v>
      </c>
      <c r="E21" s="377">
        <f t="shared" ref="E21:S21" si="4">SUM(E18:E20)</f>
        <v>64841.25</v>
      </c>
      <c r="F21" s="377">
        <f t="shared" si="4"/>
        <v>37046.25</v>
      </c>
      <c r="G21" s="377">
        <f t="shared" si="4"/>
        <v>39422.5</v>
      </c>
      <c r="H21" s="377">
        <f t="shared" si="4"/>
        <v>30771.25</v>
      </c>
      <c r="I21" s="377">
        <f t="shared" si="4"/>
        <v>32431.25</v>
      </c>
      <c r="J21" s="377">
        <f t="shared" si="4"/>
        <v>46966.25</v>
      </c>
      <c r="K21" s="377">
        <f t="shared" si="4"/>
        <v>38823.75</v>
      </c>
      <c r="L21" s="377">
        <f t="shared" si="4"/>
        <v>37746.25</v>
      </c>
      <c r="M21" s="377">
        <f t="shared" si="4"/>
        <v>44360</v>
      </c>
      <c r="N21" s="377">
        <f t="shared" si="4"/>
        <v>52801.25</v>
      </c>
      <c r="O21" s="377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480261.25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207514</v>
      </c>
      <c r="L23" s="297">
        <f t="shared" si="5"/>
        <v>199640</v>
      </c>
      <c r="M23" s="297">
        <f t="shared" si="5"/>
        <v>231429</v>
      </c>
      <c r="N23" s="297">
        <f t="shared" si="5"/>
        <v>268582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2515170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277</v>
      </c>
      <c r="C25" s="37"/>
      <c r="D25" s="354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4">
        <f>IF(K6="Actual",SUM($D23:K23)/SUM($D50:K50)-1,"")</f>
        <v>-2.4081905480091148E-3</v>
      </c>
      <c r="L25" s="334">
        <f>IF(L6="Actual",SUM($D23:L23)/SUM($D50:L50)-1,"")</f>
        <v>1.5801983701253519E-3</v>
      </c>
      <c r="M25" s="354">
        <f>IF(M6="Actual",SUM($D23:M23)/SUM($D50:M50)-1,"")</f>
        <v>1.5075863470352946E-3</v>
      </c>
      <c r="N25" s="334" t="str">
        <f>IF(N6="Actual",SUM($D23:N23)/SUM($D50:N50)-1,"")</f>
        <v/>
      </c>
      <c r="O25" s="354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328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3"/>
      <c r="U32" s="374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189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190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5">
        <f>SUM(D37:D42)</f>
        <v>209997.5</v>
      </c>
      <c r="E43" s="375">
        <f t="shared" ref="E43:S43" si="7">SUM(E37:E42)</f>
        <v>256289.54</v>
      </c>
      <c r="F43" s="375">
        <f t="shared" si="7"/>
        <v>194831.91999999998</v>
      </c>
      <c r="G43" s="375">
        <f t="shared" si="7"/>
        <v>165304</v>
      </c>
      <c r="H43" s="375">
        <f t="shared" si="7"/>
        <v>143907.25</v>
      </c>
      <c r="I43" s="375">
        <f t="shared" si="7"/>
        <v>147163.25</v>
      </c>
      <c r="J43" s="375">
        <f t="shared" si="7"/>
        <v>198581</v>
      </c>
      <c r="K43" s="375">
        <f t="shared" si="7"/>
        <v>160173.25</v>
      </c>
      <c r="L43" s="375">
        <f t="shared" si="7"/>
        <v>156081.75</v>
      </c>
      <c r="M43" s="375">
        <f t="shared" si="7"/>
        <v>187684</v>
      </c>
      <c r="N43" s="375">
        <f t="shared" si="7"/>
        <v>255340.31</v>
      </c>
      <c r="O43" s="375">
        <f t="shared" si="7"/>
        <v>228330.25</v>
      </c>
      <c r="P43" s="375">
        <f t="shared" si="7"/>
        <v>38.139999999993016</v>
      </c>
      <c r="Q43" s="375">
        <f t="shared" si="7"/>
        <v>0</v>
      </c>
      <c r="R43" s="375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6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7">
        <f>SUM(D45:D47)</f>
        <v>48807.5</v>
      </c>
      <c r="E48" s="377">
        <f t="shared" ref="E48:R48" si="9">SUM(E45:E47)</f>
        <v>62606.25</v>
      </c>
      <c r="F48" s="377">
        <f t="shared" si="9"/>
        <v>44609.46</v>
      </c>
      <c r="G48" s="377">
        <f t="shared" si="9"/>
        <v>38545</v>
      </c>
      <c r="H48" s="377">
        <f t="shared" si="9"/>
        <v>32553.75</v>
      </c>
      <c r="I48" s="377">
        <f t="shared" si="9"/>
        <v>33685.75</v>
      </c>
      <c r="J48" s="377">
        <f t="shared" si="9"/>
        <v>45171.25</v>
      </c>
      <c r="K48" s="377">
        <f t="shared" si="9"/>
        <v>37675</v>
      </c>
      <c r="L48" s="377">
        <f t="shared" si="9"/>
        <v>35996.252999999997</v>
      </c>
      <c r="M48" s="377">
        <f t="shared" si="9"/>
        <v>43542.5</v>
      </c>
      <c r="N48" s="377">
        <f t="shared" si="9"/>
        <v>63243.69</v>
      </c>
      <c r="O48" s="377">
        <f t="shared" si="9"/>
        <v>56128.75</v>
      </c>
      <c r="P48" s="377">
        <f t="shared" si="9"/>
        <v>9.11</v>
      </c>
      <c r="Q48" s="377">
        <f t="shared" si="9"/>
        <v>0</v>
      </c>
      <c r="R48" s="377">
        <f t="shared" si="9"/>
        <v>0</v>
      </c>
      <c r="S48" s="377">
        <f t="shared" ref="S48" si="10">SUM(S45:S47)</f>
        <v>542574.26299999992</v>
      </c>
    </row>
    <row r="49" spans="1:19" ht="15" x14ac:dyDescent="0.2">
      <c r="A49" s="37"/>
      <c r="B49" s="37"/>
      <c r="C49" s="37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4"/>
    </row>
    <row r="50" spans="1:19" ht="16.5" thickBot="1" x14ac:dyDescent="0.3">
      <c r="A50" s="295" t="s">
        <v>224</v>
      </c>
      <c r="B50" s="37"/>
      <c r="C50" s="37"/>
      <c r="D50" s="379">
        <f>D43+D48</f>
        <v>258805</v>
      </c>
      <c r="E50" s="379">
        <f t="shared" ref="E50:S50" si="11">E43+E48</f>
        <v>318895.79000000004</v>
      </c>
      <c r="F50" s="379">
        <f t="shared" si="11"/>
        <v>239441.37999999998</v>
      </c>
      <c r="G50" s="379">
        <f t="shared" si="11"/>
        <v>203849</v>
      </c>
      <c r="H50" s="379">
        <f t="shared" si="11"/>
        <v>176461</v>
      </c>
      <c r="I50" s="379">
        <f t="shared" si="11"/>
        <v>180849</v>
      </c>
      <c r="J50" s="379">
        <f t="shared" si="11"/>
        <v>243752.25</v>
      </c>
      <c r="K50" s="379">
        <f t="shared" si="11"/>
        <v>197848.25</v>
      </c>
      <c r="L50" s="379">
        <f t="shared" si="11"/>
        <v>192078.003</v>
      </c>
      <c r="M50" s="379">
        <f t="shared" si="11"/>
        <v>231226.5</v>
      </c>
      <c r="N50" s="379">
        <f t="shared" si="11"/>
        <v>318584</v>
      </c>
      <c r="O50" s="379">
        <f t="shared" si="11"/>
        <v>284459</v>
      </c>
      <c r="P50" s="379">
        <f t="shared" si="11"/>
        <v>47.249999999993015</v>
      </c>
      <c r="Q50" s="379">
        <f t="shared" si="11"/>
        <v>0</v>
      </c>
      <c r="R50" s="379">
        <f t="shared" si="11"/>
        <v>0</v>
      </c>
      <c r="S50" s="380">
        <f t="shared" si="11"/>
        <v>2846296.423</v>
      </c>
    </row>
  </sheetData>
  <printOptions horizontalCentered="1"/>
  <pageMargins left="0.45" right="0.45" top="0.75" bottom="0.75" header="0.3" footer="0.3"/>
  <pageSetup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B1" sqref="B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327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243</v>
      </c>
      <c r="D4" s="289" t="s">
        <v>193</v>
      </c>
      <c r="E4" s="290" t="s">
        <v>244</v>
      </c>
      <c r="F4" s="290"/>
      <c r="G4" s="289" t="s">
        <v>326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355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1525553</v>
      </c>
      <c r="D9" s="9"/>
      <c r="E9" s="271">
        <f t="shared" si="1"/>
        <v>1525553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509257</v>
      </c>
      <c r="D10" s="9"/>
      <c r="E10" s="271">
        <f t="shared" si="1"/>
        <v>509257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3539060.44</v>
      </c>
      <c r="D11" s="281">
        <f t="shared" ref="D11" si="3">SUM(D6:D10)</f>
        <v>0</v>
      </c>
      <c r="E11" s="281">
        <f t="shared" si="2"/>
        <v>3539060.44</v>
      </c>
      <c r="F11" s="281"/>
      <c r="G11" s="282">
        <f>SUM(G6:G10)</f>
        <v>3950181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2034908.75</v>
      </c>
      <c r="D12" s="283">
        <f>SUM(D8:D10)</f>
        <v>0</v>
      </c>
      <c r="E12" s="283">
        <f>SUM(E8:E10)</f>
        <v>2034908.75</v>
      </c>
      <c r="F12" s="283"/>
      <c r="G12" s="284">
        <f>SUM(G8:G10)</f>
        <v>2396000</v>
      </c>
      <c r="H12" s="285">
        <f>G12-E12</f>
        <v>361091.25</v>
      </c>
      <c r="I12" s="274">
        <f>IF(G12=0,0,E12/G12)</f>
        <v>0.84929413606010018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1659432.64</v>
      </c>
      <c r="D15" s="9"/>
      <c r="E15" s="271">
        <f t="shared" ref="E15:E42" si="4">C15+D15</f>
        <v>1659432.64</v>
      </c>
      <c r="F15" s="271"/>
      <c r="G15" s="273">
        <f>'9397 BOEE'!U19</f>
        <v>1912643</v>
      </c>
      <c r="H15" s="9">
        <f>G15-E15</f>
        <v>253210.3600000001</v>
      </c>
      <c r="I15" s="274">
        <f t="shared" ref="I15:I43" si="5">IF(G15=0,0,E15/G15)</f>
        <v>0.86761232493465845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12282.18</v>
      </c>
      <c r="D16" s="9"/>
      <c r="E16" s="271">
        <f t="shared" si="4"/>
        <v>12282.18</v>
      </c>
      <c r="F16" s="271"/>
      <c r="G16" s="273">
        <f>'9397 BOEE'!U20</f>
        <v>21000</v>
      </c>
      <c r="H16" s="9">
        <f t="shared" ref="H16:H42" si="6">G16-D16-C16</f>
        <v>8717.82</v>
      </c>
      <c r="I16" s="274">
        <f t="shared" si="5"/>
        <v>0.58486571428571432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1275.5899999999999</v>
      </c>
      <c r="D17" s="9"/>
      <c r="E17" s="271">
        <f t="shared" si="4"/>
        <v>1275.5899999999999</v>
      </c>
      <c r="F17" s="271"/>
      <c r="G17" s="273">
        <f>'9397 BOEE'!U21</f>
        <v>20000</v>
      </c>
      <c r="H17" s="9">
        <f t="shared" si="6"/>
        <v>18724.41</v>
      </c>
      <c r="I17" s="274">
        <f t="shared" si="5"/>
        <v>6.3779499999999989E-2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8210.619999999999</v>
      </c>
      <c r="D18" s="9"/>
      <c r="E18" s="271">
        <f t="shared" si="4"/>
        <v>8210.619999999999</v>
      </c>
      <c r="F18" s="271"/>
      <c r="G18" s="273">
        <f>'9397 BOEE'!U22</f>
        <v>10500</v>
      </c>
      <c r="H18" s="9">
        <f t="shared" si="6"/>
        <v>2289.380000000001</v>
      </c>
      <c r="I18" s="274">
        <f t="shared" si="5"/>
        <v>0.78196380952380939</v>
      </c>
    </row>
    <row r="19" spans="1:9" x14ac:dyDescent="0.2">
      <c r="A19" s="267" t="s">
        <v>234</v>
      </c>
      <c r="B19" s="266" t="s">
        <v>235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340</v>
      </c>
      <c r="D21" s="9"/>
      <c r="E21" s="271">
        <f t="shared" si="4"/>
        <v>340</v>
      </c>
      <c r="F21" s="271"/>
      <c r="G21" s="273">
        <f>'9397 BOEE'!U25</f>
        <v>3500</v>
      </c>
      <c r="H21" s="9">
        <f t="shared" si="6"/>
        <v>3160</v>
      </c>
      <c r="I21" s="274">
        <f t="shared" si="5"/>
        <v>9.7142857142857142E-2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4215.6600000000008</v>
      </c>
      <c r="D23" s="9"/>
      <c r="E23" s="271">
        <f t="shared" si="4"/>
        <v>4215.6600000000008</v>
      </c>
      <c r="F23" s="271"/>
      <c r="G23" s="273">
        <f>'9397 BOEE'!U27</f>
        <v>12500</v>
      </c>
      <c r="H23" s="9">
        <f t="shared" si="6"/>
        <v>8284.34</v>
      </c>
      <c r="I23" s="274">
        <f t="shared" si="5"/>
        <v>0.33725280000000007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14974.300000000001</v>
      </c>
      <c r="D24" s="9"/>
      <c r="E24" s="271">
        <f t="shared" si="4"/>
        <v>14974.300000000001</v>
      </c>
      <c r="F24" s="271"/>
      <c r="G24" s="273">
        <f>'9397 BOEE'!U28</f>
        <v>20000.11</v>
      </c>
      <c r="H24" s="9">
        <f t="shared" si="6"/>
        <v>5025.8099999999995</v>
      </c>
      <c r="I24" s="274">
        <f t="shared" si="5"/>
        <v>0.74871088209014858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52500</v>
      </c>
      <c r="D25" s="9"/>
      <c r="E25" s="271">
        <f t="shared" si="4"/>
        <v>52500</v>
      </c>
      <c r="F25" s="271"/>
      <c r="G25" s="273">
        <f>'9397 BOEE'!U29</f>
        <v>71500</v>
      </c>
      <c r="H25" s="9">
        <f t="shared" si="6"/>
        <v>19000</v>
      </c>
      <c r="I25" s="274">
        <f t="shared" si="5"/>
        <v>0.73426573426573427</v>
      </c>
    </row>
    <row r="26" spans="1:9" x14ac:dyDescent="0.2">
      <c r="A26" s="267" t="s">
        <v>237</v>
      </c>
      <c r="B26" s="266" t="s">
        <v>238</v>
      </c>
      <c r="C26" s="9">
        <f>'9397 BOEE'!S30</f>
        <v>2353.0199999999995</v>
      </c>
      <c r="D26" s="9"/>
      <c r="E26" s="271">
        <f t="shared" ref="E26" si="11">C26+D26</f>
        <v>2353.0199999999995</v>
      </c>
      <c r="F26" s="271"/>
      <c r="G26" s="273">
        <f>'9397 BOEE'!U30</f>
        <v>4000.25</v>
      </c>
      <c r="H26" s="9">
        <f t="shared" ref="H26" si="12">G26-D26-C26</f>
        <v>1647.2300000000005</v>
      </c>
      <c r="I26" s="274">
        <f t="shared" si="5"/>
        <v>0.58821823636022741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2345.4</v>
      </c>
      <c r="D27" s="9"/>
      <c r="E27" s="271">
        <f t="shared" si="4"/>
        <v>2345.4</v>
      </c>
      <c r="F27" s="271"/>
      <c r="G27" s="273">
        <f>'9397 BOEE'!U31</f>
        <v>5000</v>
      </c>
      <c r="H27" s="9">
        <f t="shared" si="6"/>
        <v>2654.6</v>
      </c>
      <c r="I27" s="274">
        <f t="shared" si="5"/>
        <v>0.46908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4317.43</v>
      </c>
      <c r="D28" s="9"/>
      <c r="E28" s="271">
        <f t="shared" si="4"/>
        <v>4317.43</v>
      </c>
      <c r="F28" s="271"/>
      <c r="G28" s="273">
        <f>'9397 BOEE'!U32</f>
        <v>6000</v>
      </c>
      <c r="H28" s="9">
        <f t="shared" si="6"/>
        <v>1682.5699999999997</v>
      </c>
      <c r="I28" s="274">
        <f t="shared" si="5"/>
        <v>0.71957166666666672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330.13</v>
      </c>
      <c r="D30" s="9"/>
      <c r="E30" s="271">
        <f t="shared" si="4"/>
        <v>330.13</v>
      </c>
      <c r="F30" s="271"/>
      <c r="G30" s="273">
        <f>'9397 BOEE'!U34</f>
        <v>1000</v>
      </c>
      <c r="H30" s="9">
        <f t="shared" si="6"/>
        <v>669.87</v>
      </c>
      <c r="I30" s="274">
        <f t="shared" si="5"/>
        <v>0.33012999999999998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8574.3399999999983</v>
      </c>
      <c r="D31" s="9"/>
      <c r="E31" s="271">
        <f t="shared" si="4"/>
        <v>8574.3399999999983</v>
      </c>
      <c r="F31" s="271"/>
      <c r="G31" s="273">
        <f>'9397 BOEE'!U35</f>
        <v>8000</v>
      </c>
      <c r="H31" s="9">
        <f t="shared" si="6"/>
        <v>-574.33999999999833</v>
      </c>
      <c r="I31" s="274">
        <f t="shared" si="5"/>
        <v>1.0717924999999997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204347.87</v>
      </c>
      <c r="D32" s="9"/>
      <c r="E32" s="271">
        <f t="shared" si="4"/>
        <v>204347.87</v>
      </c>
      <c r="F32" s="271"/>
      <c r="G32" s="273">
        <f>'9397 BOEE'!U36</f>
        <v>210000</v>
      </c>
      <c r="H32" s="9">
        <f t="shared" si="6"/>
        <v>5652.1300000000047</v>
      </c>
      <c r="I32" s="274">
        <f t="shared" si="5"/>
        <v>0.97308509523809517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112743.65</v>
      </c>
      <c r="D35" s="9"/>
      <c r="E35" s="271">
        <f t="shared" si="4"/>
        <v>112743.65</v>
      </c>
      <c r="F35" s="271"/>
      <c r="G35" s="273">
        <f>'9397 BOEE'!U39</f>
        <v>320000</v>
      </c>
      <c r="H35" s="9">
        <f t="shared" si="6"/>
        <v>207256.35</v>
      </c>
      <c r="I35" s="274">
        <f t="shared" si="5"/>
        <v>0.35232390624999999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28570.06</v>
      </c>
      <c r="D40" s="9"/>
      <c r="E40" s="271">
        <f t="shared" si="4"/>
        <v>28570.06</v>
      </c>
      <c r="F40" s="271"/>
      <c r="G40" s="273">
        <f>'9397 BOEE'!U44</f>
        <v>42000</v>
      </c>
      <c r="H40" s="9">
        <f t="shared" si="6"/>
        <v>13429.939999999999</v>
      </c>
      <c r="I40" s="274">
        <f t="shared" si="5"/>
        <v>0.68023952380952379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1235</v>
      </c>
      <c r="D42" s="9"/>
      <c r="E42" s="271">
        <f t="shared" si="4"/>
        <v>1235</v>
      </c>
      <c r="F42" s="271"/>
      <c r="G42" s="273">
        <f>'9397 BOEE'!U46</f>
        <v>5000</v>
      </c>
      <c r="H42" s="9">
        <f t="shared" si="6"/>
        <v>3765</v>
      </c>
      <c r="I42" s="274">
        <f t="shared" si="5"/>
        <v>0.247</v>
      </c>
    </row>
    <row r="43" spans="1:9" x14ac:dyDescent="0.2">
      <c r="A43" s="266"/>
      <c r="B43" s="268" t="s">
        <v>192</v>
      </c>
      <c r="C43" s="280">
        <f>SUM(C15:C42)</f>
        <v>2139542.7699999996</v>
      </c>
      <c r="D43" s="280">
        <f>SUM(D15:D42)</f>
        <v>0</v>
      </c>
      <c r="E43" s="280">
        <f>SUM(E15:E42)</f>
        <v>2139542.7699999996</v>
      </c>
      <c r="F43" s="280"/>
      <c r="G43" s="280">
        <f>SUM(G15:G42)</f>
        <v>2785111.0300000003</v>
      </c>
      <c r="H43" s="280">
        <f>SUM(H15:H42)</f>
        <v>644568.26</v>
      </c>
      <c r="I43" s="274">
        <f t="shared" si="5"/>
        <v>0.76820735222178893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-104634.01999999955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1399517.6700000004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3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327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233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1525553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509257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3539060.44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2034908.75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228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1659432.64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1659432.64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12282.18</v>
      </c>
      <c r="F16">
        <v>2</v>
      </c>
      <c r="G16" s="308"/>
      <c r="H16" s="307" t="str">
        <f t="shared" si="2"/>
        <v>ITD Reimbursements</v>
      </c>
      <c r="I16" s="312">
        <f t="shared" si="3"/>
        <v>204347.87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15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1275.5899999999999</v>
      </c>
      <c r="F17">
        <v>3</v>
      </c>
      <c r="G17" s="308"/>
      <c r="H17" s="307" t="str">
        <f t="shared" si="2"/>
        <v>Gov Transfer Other Agencies</v>
      </c>
      <c r="I17" s="312">
        <f t="shared" si="3"/>
        <v>112743.65</v>
      </c>
      <c r="J17" s="303"/>
      <c r="K17" s="14"/>
      <c r="L17" s="14"/>
      <c r="M17" s="14"/>
      <c r="N17" s="14"/>
    </row>
    <row r="18" spans="1:14" x14ac:dyDescent="0.2">
      <c r="A18" s="308">
        <f t="shared" si="1"/>
        <v>10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8210.619999999999</v>
      </c>
      <c r="F18">
        <v>4</v>
      </c>
      <c r="G18" s="308"/>
      <c r="H18" s="307" t="str">
        <f t="shared" si="2"/>
        <v>Rentals</v>
      </c>
      <c r="I18" s="312">
        <f t="shared" si="3"/>
        <v>52500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19</v>
      </c>
      <c r="B19" s="267" t="s">
        <v>234</v>
      </c>
      <c r="C19" s="266" t="s">
        <v>235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28570.06</v>
      </c>
      <c r="J19" s="303"/>
      <c r="K19" s="14"/>
      <c r="L19" s="14"/>
      <c r="M19" s="14"/>
      <c r="N19" s="14"/>
    </row>
    <row r="20" spans="1:14" x14ac:dyDescent="0.2">
      <c r="A20" s="308">
        <f t="shared" si="1"/>
        <v>19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IT Equipment &amp; Software</v>
      </c>
      <c r="I20" s="312">
        <f t="shared" si="3"/>
        <v>21494.880000000001</v>
      </c>
      <c r="J20" s="303"/>
      <c r="K20" s="14"/>
      <c r="L20" s="14"/>
      <c r="M20" s="14"/>
      <c r="N20" s="14"/>
    </row>
    <row r="21" spans="1:14" x14ac:dyDescent="0.2">
      <c r="A21" s="308">
        <f t="shared" si="1"/>
        <v>17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340</v>
      </c>
      <c r="F21">
        <v>7</v>
      </c>
      <c r="G21" s="308"/>
      <c r="H21" s="307" t="str">
        <f t="shared" si="2"/>
        <v>Communications</v>
      </c>
      <c r="I21" s="312">
        <f t="shared" si="3"/>
        <v>14974.300000000001</v>
      </c>
      <c r="J21" s="303"/>
      <c r="K21" s="14"/>
      <c r="L21" s="14"/>
      <c r="M21" s="14"/>
      <c r="N21" s="14"/>
    </row>
    <row r="22" spans="1:14" x14ac:dyDescent="0.2">
      <c r="A22" s="308">
        <f t="shared" si="1"/>
        <v>19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12282.18</v>
      </c>
      <c r="J22" s="303"/>
      <c r="K22" s="14"/>
      <c r="L22" s="14"/>
      <c r="M22" s="14"/>
      <c r="N22" s="14"/>
    </row>
    <row r="23" spans="1:14" x14ac:dyDescent="0.2">
      <c r="A23" s="308">
        <f t="shared" si="1"/>
        <v>12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4215.6600000000008</v>
      </c>
      <c r="G23" s="308"/>
      <c r="H23" s="307" t="s">
        <v>249</v>
      </c>
      <c r="I23" s="312">
        <f>I25-SUM(I15:I22)</f>
        <v>33197.189999999944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14974.300000000001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52500</v>
      </c>
      <c r="G25" s="308"/>
      <c r="H25" s="307" t="s">
        <v>192</v>
      </c>
      <c r="I25" s="312">
        <f>D43</f>
        <v>2139542.7699999996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237</v>
      </c>
      <c r="C26" s="266" t="s">
        <v>238</v>
      </c>
      <c r="D26" s="9">
        <f>'Obligations vs Bgt'!E26</f>
        <v>2353.0199999999995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14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2345.4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4317.43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19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18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330.13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9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8574.3399999999983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204347.87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19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19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112743.65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19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19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19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28570.06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19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16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1235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2139542.7699999996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-104634.01999999955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1399517.6700000004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9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337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0.91666666666666663</v>
      </c>
      <c r="W3" s="48"/>
      <c r="X3" s="1"/>
      <c r="Y3" s="1"/>
    </row>
    <row r="4" spans="1:25" ht="15.75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351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3">
        <f t="shared" ref="D11:O11" si="0">SUM(D8:D10)</f>
        <v>0</v>
      </c>
      <c r="E11" s="383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16131.08</v>
      </c>
      <c r="L14" s="70">
        <v>16087.46</v>
      </c>
      <c r="M14" s="70">
        <v>26242.2</v>
      </c>
      <c r="N14" s="70">
        <v>12540.29</v>
      </c>
      <c r="O14" s="70">
        <v>17935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125199.97</v>
      </c>
      <c r="T14" s="70">
        <f t="shared" ref="T14:T18" si="2">SUM(D14:R14)</f>
        <v>152101.97</v>
      </c>
      <c r="U14" s="70">
        <v>233152</v>
      </c>
      <c r="V14" s="71">
        <f>IF(U14=0,0,SUMIF($D$6:$R$6,$X$2,D14:R14)/U14)</f>
        <v>0.53698861686796595</v>
      </c>
      <c r="W14" s="199">
        <f>IF(U14=0,0,T14/U14)</f>
        <v>0.65237257239912161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7.5</v>
      </c>
      <c r="M17" s="70">
        <v>11.5</v>
      </c>
      <c r="N17" s="70">
        <v>7.5</v>
      </c>
      <c r="O17" s="70">
        <v>0</v>
      </c>
      <c r="P17" s="70">
        <v>0</v>
      </c>
      <c r="Q17" s="70">
        <v>0</v>
      </c>
      <c r="R17" s="70">
        <v>0</v>
      </c>
      <c r="S17" s="70">
        <f t="shared" si="1"/>
        <v>32.5</v>
      </c>
      <c r="T17" s="70">
        <f t="shared" si="2"/>
        <v>32.5</v>
      </c>
      <c r="U17" s="70">
        <v>24</v>
      </c>
      <c r="V17" s="71">
        <f t="shared" si="3"/>
        <v>1.3541666666666667</v>
      </c>
      <c r="W17" s="199">
        <f t="shared" si="4"/>
        <v>1.3541666666666667</v>
      </c>
      <c r="X17" s="206"/>
      <c r="Y17" s="317"/>
    </row>
    <row r="18" spans="1:25" ht="15" x14ac:dyDescent="0.2">
      <c r="A18" s="320" t="s">
        <v>148</v>
      </c>
      <c r="B18" s="320" t="s">
        <v>149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4"/>
      <c r="H19" s="404"/>
      <c r="I19" s="404"/>
      <c r="J19" s="70"/>
      <c r="K19" s="404"/>
      <c r="L19" s="404"/>
      <c r="M19" s="405"/>
      <c r="N19" s="404"/>
      <c r="O19" s="404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16131.08</v>
      </c>
      <c r="L20" s="91">
        <f t="shared" si="5"/>
        <v>16094.96</v>
      </c>
      <c r="M20" s="91">
        <f t="shared" si="5"/>
        <v>26253.7</v>
      </c>
      <c r="N20" s="91">
        <f t="shared" si="5"/>
        <v>12547.79</v>
      </c>
      <c r="O20" s="91">
        <f t="shared" si="5"/>
        <v>17935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125232.47</v>
      </c>
      <c r="T20" s="91">
        <f t="shared" si="5"/>
        <v>152134.47</v>
      </c>
      <c r="U20" s="91">
        <f t="shared" si="5"/>
        <v>239176</v>
      </c>
      <c r="V20" s="92">
        <f>SUMIF($D$6:$R$6,$X$2,D20:R20)/U20</f>
        <v>0.52359965046660195</v>
      </c>
      <c r="W20" s="202">
        <f>T20/U20</f>
        <v>0.63607749105261402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3">
        <f t="shared" ref="D23:U23" si="6">D11-D20</f>
        <v>0</v>
      </c>
      <c r="E23" s="383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-16131.08</v>
      </c>
      <c r="L23" s="91">
        <f t="shared" si="6"/>
        <v>-16094.96</v>
      </c>
      <c r="M23" s="91">
        <f t="shared" si="6"/>
        <v>-26253.7</v>
      </c>
      <c r="N23" s="91">
        <f t="shared" si="6"/>
        <v>-12547.79</v>
      </c>
      <c r="O23" s="91">
        <f t="shared" si="6"/>
        <v>-17935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-125232.47</v>
      </c>
      <c r="T23" s="91">
        <f t="shared" si="6"/>
        <v>-152134.47</v>
      </c>
      <c r="U23" s="91">
        <f t="shared" si="6"/>
        <v>0</v>
      </c>
      <c r="V23" s="409"/>
      <c r="W23" s="209"/>
      <c r="X23" s="184"/>
      <c r="Y23" s="14"/>
    </row>
    <row r="24" spans="1:25" ht="15.75" x14ac:dyDescent="0.2">
      <c r="A24" s="90" t="s">
        <v>309</v>
      </c>
      <c r="B24" s="90"/>
      <c r="C24" s="90"/>
      <c r="D24" s="383"/>
      <c r="E24" s="3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09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4">
        <f>D11-D20</f>
        <v>0</v>
      </c>
      <c r="E25" s="384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-70336.02</v>
      </c>
      <c r="L25" s="130">
        <f t="shared" si="7"/>
        <v>-86430.98000000001</v>
      </c>
      <c r="M25" s="130">
        <f t="shared" si="7"/>
        <v>-112684.68000000001</v>
      </c>
      <c r="N25" s="130">
        <f t="shared" si="7"/>
        <v>-125232.47</v>
      </c>
      <c r="O25" s="130">
        <f t="shared" si="7"/>
        <v>-143167.47</v>
      </c>
      <c r="P25" s="130">
        <f t="shared" si="7"/>
        <v>-152134.47</v>
      </c>
      <c r="Q25" s="130">
        <f t="shared" si="7"/>
        <v>-152134.47</v>
      </c>
      <c r="R25" s="130">
        <f t="shared" si="7"/>
        <v>-152134.47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6" t="s">
        <v>117</v>
      </c>
      <c r="B26" s="407"/>
      <c r="C26" s="407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2"/>
      <c r="U26" s="392"/>
      <c r="V26" s="392"/>
      <c r="W26" s="72"/>
      <c r="X26" s="184"/>
      <c r="Y26" s="106"/>
    </row>
    <row r="27" spans="1:25" ht="36" x14ac:dyDescent="0.25">
      <c r="A27" s="406"/>
      <c r="B27" s="407"/>
      <c r="C27" s="407"/>
      <c r="D27" s="86"/>
      <c r="E27" s="86"/>
      <c r="F27" s="86"/>
      <c r="G27" s="86"/>
      <c r="H27" s="86"/>
      <c r="I27" s="86"/>
      <c r="J27" s="86"/>
      <c r="K27" s="86"/>
      <c r="L27" s="34"/>
      <c r="M27" s="378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2" t="s">
        <v>299</v>
      </c>
      <c r="W27" s="350" t="s">
        <v>300</v>
      </c>
      <c r="X27" s="184"/>
      <c r="Y27" s="106"/>
    </row>
    <row r="28" spans="1:25" ht="18" x14ac:dyDescent="0.25">
      <c r="A28" s="408" t="s">
        <v>240</v>
      </c>
      <c r="B28" s="77"/>
      <c r="C28" s="407"/>
      <c r="D28" s="86"/>
      <c r="E28" s="86"/>
      <c r="F28" s="86"/>
      <c r="G28" s="86"/>
      <c r="H28" s="86"/>
      <c r="I28" s="86"/>
      <c r="J28" s="86"/>
      <c r="K28" s="86"/>
      <c r="L28" s="401"/>
      <c r="M28" s="386"/>
      <c r="N28" s="85"/>
      <c r="O28" s="85"/>
      <c r="P28" s="388" t="s">
        <v>339</v>
      </c>
      <c r="Q28" s="176" t="s">
        <v>297</v>
      </c>
      <c r="R28" s="342"/>
      <c r="S28" s="343"/>
      <c r="T28" s="174" t="s">
        <v>338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7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2"/>
      <c r="P29" s="346" t="s">
        <v>342</v>
      </c>
      <c r="Q29" s="176" t="s">
        <v>297</v>
      </c>
      <c r="R29" s="342"/>
      <c r="S29" s="343"/>
      <c r="T29" s="368" t="s">
        <v>359</v>
      </c>
      <c r="U29" s="369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7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7"/>
      <c r="O30" s="402"/>
      <c r="P30" s="389"/>
      <c r="Q30" s="390"/>
      <c r="R30" s="73"/>
      <c r="S30" s="369"/>
      <c r="T30" s="78"/>
      <c r="U30" s="369"/>
      <c r="V30" s="79"/>
      <c r="W30" s="391"/>
      <c r="X30" s="184"/>
      <c r="Y30" s="106"/>
    </row>
    <row r="31" spans="1:25" ht="18" x14ac:dyDescent="0.25">
      <c r="A31" s="406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7"/>
      <c r="O31" s="368"/>
      <c r="P31" s="389"/>
      <c r="Q31" s="390"/>
      <c r="R31" s="73"/>
      <c r="S31" s="369"/>
      <c r="T31" s="78" t="s">
        <v>298</v>
      </c>
      <c r="U31" s="369"/>
      <c r="V31" s="79">
        <f>SUM(V28:V30)</f>
        <v>2</v>
      </c>
      <c r="W31" s="391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360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7"/>
      <c r="O32" s="368"/>
      <c r="P32" s="394"/>
      <c r="Q32" s="395"/>
      <c r="R32" s="396"/>
      <c r="S32" s="397"/>
      <c r="T32" s="398"/>
      <c r="U32" s="397"/>
      <c r="V32" s="399"/>
      <c r="W32" s="400"/>
      <c r="X32" s="184"/>
      <c r="Y32" s="14"/>
    </row>
    <row r="33" spans="1:25" ht="18" x14ac:dyDescent="0.25">
      <c r="A33" s="171">
        <v>202</v>
      </c>
      <c r="B33" s="75" t="s">
        <v>340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7"/>
      <c r="O33" s="368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341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7"/>
      <c r="O34" s="403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353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69"/>
      <c r="T35" s="368"/>
      <c r="U35" s="369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343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2"/>
      <c r="U36" s="392"/>
      <c r="V36" s="392"/>
      <c r="W36" s="393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2"/>
      <c r="U37" s="392"/>
      <c r="V37" s="392"/>
      <c r="W37" s="393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2"/>
      <c r="U38" s="392"/>
      <c r="V38" s="392"/>
      <c r="W38" s="393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280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292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230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231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2025-06-19-20 Board of Educational Examiners Tab C</dc:title>
  <dc:creator>Randall.Lagerblade@iowa.gov</dc:creator>
  <cp:lastModifiedBy>Albers, Lisa [IDOE]</cp:lastModifiedBy>
  <cp:lastPrinted>2025-06-10T13:06:34Z</cp:lastPrinted>
  <dcterms:created xsi:type="dcterms:W3CDTF">2015-04-28T12:49:55Z</dcterms:created>
  <dcterms:modified xsi:type="dcterms:W3CDTF">2025-06-13T13:35:23Z</dcterms:modified>
</cp:coreProperties>
</file>