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iowamac-my.sharepoint.com/personal/john_parker_dom_iowa_gov/Documents/PAY/FY2025/"/>
    </mc:Choice>
  </mc:AlternateContent>
  <xr:revisionPtr revIDLastSave="10" documentId="8_{0529B82A-8293-4ED2-8AF1-70D346C9190F}" xr6:coauthVersionLast="47" xr6:coauthVersionMax="47" xr10:uidLastSave="{0CBE7408-D3B2-4EEA-94B1-78F07CF56065}"/>
  <bookViews>
    <workbookView xWindow="28680" yWindow="-120" windowWidth="29040" windowHeight="15840" firstSheet="2" activeTab="2" xr2:uid="{00000000-000D-0000-FFFF-FFFF00000000}"/>
  </bookViews>
  <sheets>
    <sheet name="Data" sheetId="1" state="hidden" r:id="rId1"/>
    <sheet name="Notes" sheetId="3" state="hidden" r:id="rId2"/>
    <sheet name="Payment" sheetId="2" r:id="rId3"/>
    <sheet name="PaymentCodingDetailCheck" sheetId="8" state="hidden" r:id="rId4"/>
    <sheet name="PaymentCodingDetail_Sept-May" sheetId="5" r:id="rId5"/>
    <sheet name="PaymentCodingDetail_June" sheetId="7" r:id="rId6"/>
    <sheet name="PaymentCodingTotal" sheetId="6" r:id="rId7"/>
    <sheet name="Final Total Check" sheetId="10" state="hidden" r:id="rId8"/>
    <sheet name="Data_Detail" sheetId="4" state="hidden" r:id="rId9"/>
  </sheets>
  <definedNames>
    <definedName name="AEA_Name" localSheetId="7">#REF!</definedName>
    <definedName name="AEA_Name" localSheetId="5">#REF!</definedName>
    <definedName name="AEA_Name" localSheetId="4">#REF!</definedName>
    <definedName name="AEA_Name" localSheetId="3">#REF!</definedName>
    <definedName name="AEA_Name" localSheetId="6">#REF!</definedName>
    <definedName name="AEA_Name">#REF!</definedName>
    <definedName name="_xlnm.Print_Area" localSheetId="7">'Final Total Check'!$A$1:$K$26</definedName>
    <definedName name="_xlnm.Print_Area" localSheetId="5">PaymentCodingDetail_June!$A$1:$I$36</definedName>
    <definedName name="_xlnm.Print_Area" localSheetId="4">'PaymentCodingDetail_Sept-May'!$A$1:$I$36</definedName>
    <definedName name="_xlnm.Print_Area" localSheetId="3">PaymentCodingDetailCheck!$A$1:$I$36</definedName>
    <definedName name="_xlnm.Print_Area" localSheetId="6">PaymentCodingTotal!$A$1:$I$36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5" l="1"/>
  <c r="F29" i="5"/>
  <c r="F30" i="5"/>
  <c r="F31" i="5"/>
  <c r="F32" i="5"/>
  <c r="F33" i="5"/>
  <c r="F34" i="5"/>
  <c r="F35" i="5"/>
  <c r="F27" i="5"/>
  <c r="G11" i="6"/>
  <c r="G10" i="6"/>
  <c r="G9" i="6"/>
  <c r="G7" i="6"/>
  <c r="G6" i="6"/>
  <c r="D11" i="6"/>
  <c r="D10" i="6"/>
  <c r="D9" i="6"/>
  <c r="D7" i="6"/>
  <c r="D6" i="6"/>
  <c r="G5" i="6"/>
  <c r="G3" i="6"/>
  <c r="D5" i="6"/>
  <c r="D3" i="6"/>
  <c r="D3" i="2" l="1"/>
  <c r="D2" i="2"/>
  <c r="K2" i="6" l="1"/>
  <c r="K2" i="5"/>
  <c r="A1" i="5" s="1"/>
  <c r="G26" i="8"/>
  <c r="F26" i="8"/>
  <c r="E26" i="8"/>
  <c r="D26" i="8"/>
  <c r="C26" i="8"/>
  <c r="A22" i="8"/>
  <c r="A34" i="8" s="1"/>
  <c r="G14" i="8"/>
  <c r="F14" i="8"/>
  <c r="E14" i="8"/>
  <c r="D14" i="8"/>
  <c r="C14" i="8"/>
  <c r="B14" i="8"/>
  <c r="B26" i="8" s="1"/>
  <c r="A14" i="8"/>
  <c r="A26" i="8" s="1"/>
  <c r="A11" i="8"/>
  <c r="A23" i="8" s="1"/>
  <c r="A35" i="8" s="1"/>
  <c r="A10" i="8"/>
  <c r="B10" i="8" s="1"/>
  <c r="B22" i="8" s="1"/>
  <c r="B34" i="8" s="1"/>
  <c r="A9" i="8"/>
  <c r="A21" i="8" s="1"/>
  <c r="A33" i="8" s="1"/>
  <c r="A8" i="8"/>
  <c r="A20" i="8" s="1"/>
  <c r="A32" i="8" s="1"/>
  <c r="A7" i="8"/>
  <c r="B7" i="8" s="1"/>
  <c r="B19" i="8" s="1"/>
  <c r="B31" i="8" s="1"/>
  <c r="A6" i="8"/>
  <c r="A18" i="8" s="1"/>
  <c r="A30" i="8" s="1"/>
  <c r="A5" i="8"/>
  <c r="A17" i="8" s="1"/>
  <c r="A29" i="8" s="1"/>
  <c r="A4" i="8"/>
  <c r="A16" i="8" s="1"/>
  <c r="A28" i="8" s="1"/>
  <c r="A3" i="8"/>
  <c r="B3" i="8" s="1"/>
  <c r="B15" i="8" s="1"/>
  <c r="B27" i="8" s="1"/>
  <c r="I2" i="8"/>
  <c r="H2" i="8"/>
  <c r="G2" i="8"/>
  <c r="F2" i="8"/>
  <c r="E2" i="8"/>
  <c r="D2" i="8"/>
  <c r="C2" i="8"/>
  <c r="K2" i="8"/>
  <c r="A1" i="8" s="1"/>
  <c r="K2" i="7"/>
  <c r="A1" i="7" s="1"/>
  <c r="G26" i="7"/>
  <c r="F26" i="7"/>
  <c r="E26" i="7"/>
  <c r="D26" i="7"/>
  <c r="C26" i="7"/>
  <c r="B26" i="7"/>
  <c r="A26" i="7"/>
  <c r="A19" i="7"/>
  <c r="A31" i="7" s="1"/>
  <c r="E31" i="7" s="1"/>
  <c r="G14" i="7"/>
  <c r="F14" i="7"/>
  <c r="E14" i="7"/>
  <c r="D14" i="7"/>
  <c r="C14" i="7"/>
  <c r="B14" i="7"/>
  <c r="A14" i="7"/>
  <c r="A11" i="7"/>
  <c r="A23" i="7" s="1"/>
  <c r="B10" i="7"/>
  <c r="B22" i="7" s="1"/>
  <c r="B34" i="7" s="1"/>
  <c r="A10" i="7"/>
  <c r="A22" i="7" s="1"/>
  <c r="A34" i="7" s="1"/>
  <c r="E34" i="7" s="1"/>
  <c r="A9" i="7"/>
  <c r="A21" i="7" s="1"/>
  <c r="A33" i="7" s="1"/>
  <c r="E33" i="7" s="1"/>
  <c r="A8" i="7"/>
  <c r="A20" i="7" s="1"/>
  <c r="A32" i="7" s="1"/>
  <c r="E32" i="7" s="1"/>
  <c r="B7" i="7"/>
  <c r="B19" i="7" s="1"/>
  <c r="B31" i="7" s="1"/>
  <c r="A7" i="7"/>
  <c r="A6" i="7"/>
  <c r="B6" i="7" s="1"/>
  <c r="B18" i="7" s="1"/>
  <c r="B30" i="7" s="1"/>
  <c r="A5" i="7"/>
  <c r="A17" i="7" s="1"/>
  <c r="A29" i="7" s="1"/>
  <c r="E29" i="7" s="1"/>
  <c r="A4" i="7"/>
  <c r="A16" i="7" s="1"/>
  <c r="A3" i="7"/>
  <c r="A15" i="7" s="1"/>
  <c r="I2" i="7"/>
  <c r="H2" i="7"/>
  <c r="G2" i="7"/>
  <c r="F2" i="7"/>
  <c r="E2" i="7"/>
  <c r="D2" i="7"/>
  <c r="C2" i="7"/>
  <c r="B4" i="7" l="1"/>
  <c r="B16" i="7" s="1"/>
  <c r="B28" i="7" s="1"/>
  <c r="B11" i="7"/>
  <c r="B23" i="7" s="1"/>
  <c r="B35" i="7" s="1"/>
  <c r="B4" i="8"/>
  <c r="B16" i="8" s="1"/>
  <c r="B28" i="8" s="1"/>
  <c r="B5" i="7"/>
  <c r="B17" i="7" s="1"/>
  <c r="B29" i="7" s="1"/>
  <c r="B8" i="8"/>
  <c r="B20" i="8" s="1"/>
  <c r="B32" i="8" s="1"/>
  <c r="B9" i="8"/>
  <c r="B21" i="8" s="1"/>
  <c r="B33" i="8" s="1"/>
  <c r="B9" i="7"/>
  <c r="B21" i="7" s="1"/>
  <c r="B33" i="7" s="1"/>
  <c r="A18" i="7"/>
  <c r="A30" i="7" s="1"/>
  <c r="E30" i="7" s="1"/>
  <c r="B8" i="7"/>
  <c r="B20" i="7" s="1"/>
  <c r="B32" i="7" s="1"/>
  <c r="A15" i="8"/>
  <c r="A27" i="8" s="1"/>
  <c r="B11" i="8"/>
  <c r="B23" i="8" s="1"/>
  <c r="B35" i="8" s="1"/>
  <c r="B6" i="8"/>
  <c r="B18" i="8" s="1"/>
  <c r="B30" i="8" s="1"/>
  <c r="A19" i="8"/>
  <c r="A31" i="8" s="1"/>
  <c r="B5" i="8"/>
  <c r="B17" i="8" s="1"/>
  <c r="B29" i="8" s="1"/>
  <c r="A28" i="7"/>
  <c r="E28" i="7" s="1"/>
  <c r="A27" i="7"/>
  <c r="E27" i="7" s="1"/>
  <c r="A35" i="7"/>
  <c r="E35" i="7" s="1"/>
  <c r="B3" i="7"/>
  <c r="B15" i="7" s="1"/>
  <c r="B27" i="7" s="1"/>
  <c r="E36" i="7" l="1"/>
  <c r="G26" i="6"/>
  <c r="F26" i="6"/>
  <c r="E26" i="6"/>
  <c r="D26" i="6"/>
  <c r="C26" i="6"/>
  <c r="C34" i="6" s="1"/>
  <c r="N11" i="10" s="1"/>
  <c r="A15" i="6"/>
  <c r="A27" i="6" s="1"/>
  <c r="F14" i="6"/>
  <c r="E14" i="6"/>
  <c r="D14" i="6"/>
  <c r="D20" i="6" s="1"/>
  <c r="C14" i="6"/>
  <c r="B14" i="6"/>
  <c r="B26" i="6" s="1"/>
  <c r="A14" i="6"/>
  <c r="A26" i="6" s="1"/>
  <c r="A11" i="6"/>
  <c r="A23" i="6" s="1"/>
  <c r="B10" i="6"/>
  <c r="B22" i="6" s="1"/>
  <c r="B34" i="6" s="1"/>
  <c r="A10" i="6"/>
  <c r="A22" i="6" s="1"/>
  <c r="A34" i="6" s="1"/>
  <c r="A9" i="6"/>
  <c r="A8" i="6"/>
  <c r="A20" i="6" s="1"/>
  <c r="F20" i="6" s="1"/>
  <c r="K22" i="10" s="1"/>
  <c r="A7" i="6"/>
  <c r="B7" i="6" s="1"/>
  <c r="B19" i="6" s="1"/>
  <c r="B31" i="6" s="1"/>
  <c r="A6" i="6"/>
  <c r="A18" i="6" s="1"/>
  <c r="A5" i="6"/>
  <c r="A17" i="6" s="1"/>
  <c r="D17" i="6" s="1"/>
  <c r="B4" i="6"/>
  <c r="B16" i="6" s="1"/>
  <c r="B28" i="6" s="1"/>
  <c r="A4" i="6"/>
  <c r="A16" i="6" s="1"/>
  <c r="A3" i="6"/>
  <c r="B3" i="6" s="1"/>
  <c r="B15" i="6" s="1"/>
  <c r="B27" i="6" s="1"/>
  <c r="I2" i="6"/>
  <c r="H2" i="6"/>
  <c r="H10" i="6" s="1"/>
  <c r="L11" i="10" s="1"/>
  <c r="G2" i="6"/>
  <c r="F2" i="6"/>
  <c r="E2" i="6"/>
  <c r="E6" i="6" s="1"/>
  <c r="M20" i="10" s="1"/>
  <c r="D2" i="6"/>
  <c r="D8" i="6" s="1"/>
  <c r="C2" i="6"/>
  <c r="A1" i="6"/>
  <c r="E7" i="6" l="1"/>
  <c r="H3" i="6"/>
  <c r="L4" i="10" s="1"/>
  <c r="H4" i="6"/>
  <c r="L5" i="10" s="1"/>
  <c r="C18" i="6"/>
  <c r="H11" i="6"/>
  <c r="L12" i="10" s="1"/>
  <c r="C17" i="6"/>
  <c r="D22" i="6"/>
  <c r="C3" i="6"/>
  <c r="C5" i="6"/>
  <c r="K6" i="10" s="1"/>
  <c r="C4" i="6"/>
  <c r="C16" i="6"/>
  <c r="F16" i="6"/>
  <c r="K18" i="10" s="1"/>
  <c r="C10" i="6"/>
  <c r="K11" i="10" s="1"/>
  <c r="E9" i="6"/>
  <c r="M23" i="10" s="1"/>
  <c r="H5" i="6"/>
  <c r="L6" i="10" s="1"/>
  <c r="C23" i="6"/>
  <c r="D15" i="6"/>
  <c r="D23" i="6"/>
  <c r="F22" i="6"/>
  <c r="K24" i="10" s="1"/>
  <c r="C9" i="6"/>
  <c r="K10" i="10" s="1"/>
  <c r="E10" i="6"/>
  <c r="H6" i="6"/>
  <c r="L7" i="10" s="1"/>
  <c r="C22" i="6"/>
  <c r="D16" i="6"/>
  <c r="E16" i="6" s="1"/>
  <c r="P5" i="10" s="1"/>
  <c r="F15" i="6"/>
  <c r="K17" i="10" s="1"/>
  <c r="F23" i="6"/>
  <c r="K25" i="10" s="1"/>
  <c r="C8" i="6"/>
  <c r="K9" i="10" s="1"/>
  <c r="E11" i="6"/>
  <c r="H7" i="6"/>
  <c r="L8" i="10" s="1"/>
  <c r="F11" i="6"/>
  <c r="C11" i="6"/>
  <c r="K12" i="10" s="1"/>
  <c r="E8" i="6"/>
  <c r="M22" i="10" s="1"/>
  <c r="E3" i="6"/>
  <c r="M17" i="10" s="1"/>
  <c r="B8" i="6"/>
  <c r="B20" i="6" s="1"/>
  <c r="B32" i="6" s="1"/>
  <c r="C7" i="6"/>
  <c r="K8" i="10" s="1"/>
  <c r="E4" i="6"/>
  <c r="M18" i="10" s="1"/>
  <c r="G4" i="6"/>
  <c r="H8" i="6"/>
  <c r="L9" i="10" s="1"/>
  <c r="C20" i="6"/>
  <c r="E20" i="6" s="1"/>
  <c r="P9" i="10" s="1"/>
  <c r="D18" i="6"/>
  <c r="E18" i="6" s="1"/>
  <c r="P7" i="10" s="1"/>
  <c r="F17" i="6"/>
  <c r="K19" i="10" s="1"/>
  <c r="C27" i="6"/>
  <c r="N4" i="10" s="1"/>
  <c r="D34" i="6"/>
  <c r="O11" i="10" s="1"/>
  <c r="F27" i="6"/>
  <c r="O17" i="10" s="1"/>
  <c r="F34" i="6"/>
  <c r="O24" i="10" s="1"/>
  <c r="C6" i="6"/>
  <c r="K7" i="10" s="1"/>
  <c r="E5" i="6"/>
  <c r="M19" i="10" s="1"/>
  <c r="H9" i="6"/>
  <c r="L10" i="10" s="1"/>
  <c r="F18" i="6"/>
  <c r="K20" i="10" s="1"/>
  <c r="D27" i="6"/>
  <c r="O4" i="10" s="1"/>
  <c r="E34" i="6"/>
  <c r="N24" i="10" s="1"/>
  <c r="D4" i="6"/>
  <c r="F4" i="6" s="1"/>
  <c r="C15" i="6"/>
  <c r="G34" i="6"/>
  <c r="P24" i="10" s="1"/>
  <c r="G27" i="6"/>
  <c r="P17" i="10" s="1"/>
  <c r="G8" i="6"/>
  <c r="E27" i="6"/>
  <c r="N17" i="10" s="1"/>
  <c r="F7" i="6"/>
  <c r="M21" i="10"/>
  <c r="F10" i="6"/>
  <c r="M24" i="10"/>
  <c r="M25" i="10"/>
  <c r="K5" i="10"/>
  <c r="K4" i="10"/>
  <c r="F6" i="6"/>
  <c r="A29" i="6"/>
  <c r="F29" i="6" s="1"/>
  <c r="A30" i="6"/>
  <c r="D30" i="6" s="1"/>
  <c r="O7" i="10" s="1"/>
  <c r="A32" i="6"/>
  <c r="A35" i="6"/>
  <c r="G35" i="6" s="1"/>
  <c r="B5" i="6"/>
  <c r="B17" i="6" s="1"/>
  <c r="B29" i="6" s="1"/>
  <c r="B11" i="6"/>
  <c r="B23" i="6" s="1"/>
  <c r="B35" i="6" s="1"/>
  <c r="A21" i="6"/>
  <c r="C21" i="6" s="1"/>
  <c r="A28" i="6"/>
  <c r="E28" i="6" s="1"/>
  <c r="N18" i="10" s="1"/>
  <c r="B9" i="6"/>
  <c r="B21" i="6" s="1"/>
  <c r="B33" i="6" s="1"/>
  <c r="B6" i="6"/>
  <c r="B18" i="6" s="1"/>
  <c r="B30" i="6" s="1"/>
  <c r="A19" i="6"/>
  <c r="D19" i="6" s="1"/>
  <c r="H12" i="6" l="1"/>
  <c r="L13" i="10" s="1"/>
  <c r="F5" i="6"/>
  <c r="C29" i="6"/>
  <c r="N6" i="10" s="1"/>
  <c r="L27" i="6"/>
  <c r="G29" i="6"/>
  <c r="P19" i="10" s="1"/>
  <c r="G30" i="6"/>
  <c r="P20" i="10" s="1"/>
  <c r="C19" i="6"/>
  <c r="F3" i="6"/>
  <c r="K27" i="6" s="1"/>
  <c r="F8" i="6"/>
  <c r="O19" i="10"/>
  <c r="K29" i="6"/>
  <c r="P25" i="10"/>
  <c r="C28" i="6"/>
  <c r="N5" i="10" s="1"/>
  <c r="D35" i="6"/>
  <c r="O12" i="10" s="1"/>
  <c r="C32" i="6"/>
  <c r="N9" i="10" s="1"/>
  <c r="E32" i="6"/>
  <c r="N22" i="10" s="1"/>
  <c r="F9" i="6"/>
  <c r="G28" i="6"/>
  <c r="F19" i="6"/>
  <c r="K21" i="10" s="1"/>
  <c r="C35" i="6"/>
  <c r="N12" i="10" s="1"/>
  <c r="F32" i="6"/>
  <c r="O22" i="10" s="1"/>
  <c r="E35" i="6"/>
  <c r="N25" i="10" s="1"/>
  <c r="F28" i="6"/>
  <c r="O18" i="10" s="1"/>
  <c r="D32" i="6"/>
  <c r="O9" i="10" s="1"/>
  <c r="G32" i="6"/>
  <c r="C30" i="6"/>
  <c r="N7" i="10" s="1"/>
  <c r="L34" i="6"/>
  <c r="D21" i="6"/>
  <c r="E21" i="6" s="1"/>
  <c r="P10" i="10" s="1"/>
  <c r="F21" i="6"/>
  <c r="K23" i="10" s="1"/>
  <c r="D29" i="6"/>
  <c r="O6" i="10" s="1"/>
  <c r="E29" i="6"/>
  <c r="F35" i="6"/>
  <c r="O25" i="10" s="1"/>
  <c r="K34" i="6"/>
  <c r="F30" i="6"/>
  <c r="O20" i="10" s="1"/>
  <c r="E30" i="6"/>
  <c r="N20" i="10" s="1"/>
  <c r="D28" i="6"/>
  <c r="O5" i="10" s="1"/>
  <c r="I3" i="6"/>
  <c r="I6" i="6"/>
  <c r="I7" i="6"/>
  <c r="I8" i="6"/>
  <c r="I4" i="6"/>
  <c r="E15" i="6"/>
  <c r="P4" i="10" s="1"/>
  <c r="G12" i="6"/>
  <c r="A31" i="6"/>
  <c r="E22" i="6"/>
  <c r="P11" i="10" s="1"/>
  <c r="D12" i="6"/>
  <c r="I11" i="6"/>
  <c r="E17" i="6"/>
  <c r="P6" i="10" s="1"/>
  <c r="I5" i="6"/>
  <c r="E23" i="6"/>
  <c r="P12" i="10" s="1"/>
  <c r="C12" i="6"/>
  <c r="K13" i="10" s="1"/>
  <c r="E12" i="6"/>
  <c r="M26" i="10" s="1"/>
  <c r="A33" i="6"/>
  <c r="K30" i="6" l="1"/>
  <c r="L35" i="6"/>
  <c r="F12" i="6"/>
  <c r="K5" i="6" s="1"/>
  <c r="L30" i="6"/>
  <c r="N19" i="10"/>
  <c r="P22" i="10"/>
  <c r="L32" i="6"/>
  <c r="L29" i="6"/>
  <c r="K35" i="6"/>
  <c r="F24" i="6"/>
  <c r="K26" i="10" s="1"/>
  <c r="P18" i="10"/>
  <c r="L28" i="6"/>
  <c r="G31" i="6"/>
  <c r="E31" i="6"/>
  <c r="N21" i="10" s="1"/>
  <c r="F31" i="6"/>
  <c r="C31" i="6"/>
  <c r="N8" i="10" s="1"/>
  <c r="D31" i="6"/>
  <c r="O8" i="10" s="1"/>
  <c r="K32" i="6"/>
  <c r="C33" i="6"/>
  <c r="N10" i="10" s="1"/>
  <c r="D33" i="6"/>
  <c r="O10" i="10" s="1"/>
  <c r="E33" i="6"/>
  <c r="N23" i="10" s="1"/>
  <c r="F33" i="6"/>
  <c r="G33" i="6"/>
  <c r="K28" i="6"/>
  <c r="E19" i="6"/>
  <c r="P8" i="10" s="1"/>
  <c r="C24" i="6"/>
  <c r="E24" i="6"/>
  <c r="P13" i="10" s="1"/>
  <c r="D24" i="6"/>
  <c r="I9" i="6"/>
  <c r="I10" i="6"/>
  <c r="P23" i="10" l="1"/>
  <c r="L33" i="6"/>
  <c r="O23" i="10"/>
  <c r="K33" i="6"/>
  <c r="P21" i="10"/>
  <c r="L31" i="6"/>
  <c r="E36" i="6"/>
  <c r="N26" i="10" s="1"/>
  <c r="O21" i="10"/>
  <c r="K31" i="6"/>
  <c r="I12" i="6"/>
  <c r="K6" i="6" s="1"/>
  <c r="F36" i="6"/>
  <c r="K7" i="6"/>
  <c r="C36" i="6"/>
  <c r="N13" i="10" s="1"/>
  <c r="D36" i="6"/>
  <c r="O13" i="10" s="1"/>
  <c r="B21" i="3" l="1"/>
  <c r="K4" i="6"/>
  <c r="O26" i="10"/>
  <c r="G36" i="6"/>
  <c r="K3" i="6" l="1"/>
  <c r="P26" i="10"/>
  <c r="B20" i="3" s="1"/>
  <c r="D26" i="5"/>
  <c r="E26" i="5"/>
  <c r="F26" i="5"/>
  <c r="G26" i="5"/>
  <c r="C26" i="5"/>
  <c r="D14" i="5"/>
  <c r="E14" i="5"/>
  <c r="F14" i="5"/>
  <c r="C14" i="5"/>
  <c r="D2" i="5"/>
  <c r="E2" i="5"/>
  <c r="F2" i="5"/>
  <c r="G2" i="5"/>
  <c r="H2" i="5"/>
  <c r="I2" i="5"/>
  <c r="C2" i="5"/>
  <c r="A4" i="5" l="1"/>
  <c r="H4" i="5" s="1"/>
  <c r="A5" i="5"/>
  <c r="G5" i="5" s="1"/>
  <c r="A6" i="5"/>
  <c r="D6" i="5" s="1"/>
  <c r="A7" i="5"/>
  <c r="E7" i="5" s="1"/>
  <c r="A8" i="5"/>
  <c r="G8" i="5" s="1"/>
  <c r="A9" i="5"/>
  <c r="H9" i="5" s="1"/>
  <c r="A10" i="5"/>
  <c r="G10" i="5" s="1"/>
  <c r="A11" i="5"/>
  <c r="E11" i="5" s="1"/>
  <c r="A3" i="5"/>
  <c r="H3" i="5" s="1"/>
  <c r="D11" i="5" l="1"/>
  <c r="D10" i="5"/>
  <c r="D7" i="5"/>
  <c r="D3" i="5"/>
  <c r="D8" i="5"/>
  <c r="D9" i="5"/>
  <c r="C5" i="5"/>
  <c r="D4" i="5"/>
  <c r="B3" i="5"/>
  <c r="B8" i="5"/>
  <c r="E8" i="5"/>
  <c r="B4" i="5"/>
  <c r="E4" i="5"/>
  <c r="C4" i="5"/>
  <c r="H8" i="5"/>
  <c r="C9" i="5"/>
  <c r="H5" i="5"/>
  <c r="B6" i="5"/>
  <c r="C6" i="5"/>
  <c r="E9" i="5"/>
  <c r="G3" i="5"/>
  <c r="H10" i="5"/>
  <c r="G7" i="5"/>
  <c r="G11" i="5"/>
  <c r="B5" i="5"/>
  <c r="C11" i="5"/>
  <c r="E3" i="5"/>
  <c r="G4" i="5"/>
  <c r="H11" i="5"/>
  <c r="B7" i="5"/>
  <c r="C7" i="5"/>
  <c r="E6" i="5"/>
  <c r="H7" i="5"/>
  <c r="B11" i="5"/>
  <c r="C8" i="5"/>
  <c r="E5" i="5"/>
  <c r="H6" i="5"/>
  <c r="B10" i="5"/>
  <c r="C10" i="5"/>
  <c r="D5" i="5"/>
  <c r="E10" i="5"/>
  <c r="G6" i="5"/>
  <c r="G9" i="5"/>
  <c r="B9" i="5"/>
  <c r="C3" i="5"/>
  <c r="B14" i="5"/>
  <c r="B26" i="5" s="1"/>
  <c r="A14" i="5"/>
  <c r="A26" i="5" s="1"/>
  <c r="B15" i="5" l="1"/>
  <c r="B27" i="5" s="1"/>
  <c r="A15" i="5"/>
  <c r="F15" i="5" l="1"/>
  <c r="D15" i="5"/>
  <c r="C15" i="5"/>
  <c r="B16" i="5"/>
  <c r="B28" i="5" s="1"/>
  <c r="A16" i="5"/>
  <c r="A27" i="5"/>
  <c r="C16" i="5" l="1"/>
  <c r="F16" i="5"/>
  <c r="D16" i="5"/>
  <c r="E27" i="5"/>
  <c r="C27" i="5"/>
  <c r="D27" i="5"/>
  <c r="A17" i="5"/>
  <c r="B17" i="5"/>
  <c r="B29" i="5" s="1"/>
  <c r="A28" i="5"/>
  <c r="E28" i="5" l="1"/>
  <c r="D28" i="5"/>
  <c r="C28" i="5"/>
  <c r="D17" i="5"/>
  <c r="F17" i="5"/>
  <c r="C17" i="5"/>
  <c r="A18" i="5"/>
  <c r="B18" i="5"/>
  <c r="B30" i="5" s="1"/>
  <c r="A29" i="5"/>
  <c r="C18" i="5" l="1"/>
  <c r="F18" i="5"/>
  <c r="D18" i="5"/>
  <c r="E29" i="5"/>
  <c r="D29" i="5"/>
  <c r="C29" i="5"/>
  <c r="A30" i="5"/>
  <c r="A19" i="5"/>
  <c r="B19" i="5"/>
  <c r="B31" i="5" s="1"/>
  <c r="D19" i="5" l="1"/>
  <c r="F19" i="5"/>
  <c r="C19" i="5"/>
  <c r="E30" i="5"/>
  <c r="C30" i="5"/>
  <c r="D30" i="5"/>
  <c r="A21" i="5"/>
  <c r="B21" i="5"/>
  <c r="B33" i="5" s="1"/>
  <c r="B20" i="5"/>
  <c r="B32" i="5" s="1"/>
  <c r="A20" i="5"/>
  <c r="A31" i="5"/>
  <c r="D21" i="5" l="1"/>
  <c r="C21" i="5"/>
  <c r="F21" i="5"/>
  <c r="E31" i="5"/>
  <c r="D31" i="5"/>
  <c r="C31" i="5"/>
  <c r="F20" i="5"/>
  <c r="C20" i="5"/>
  <c r="D20" i="5"/>
  <c r="A33" i="5"/>
  <c r="A32" i="5"/>
  <c r="A22" i="5"/>
  <c r="B22" i="5"/>
  <c r="B34" i="5" s="1"/>
  <c r="E33" i="5" l="1"/>
  <c r="C33" i="5"/>
  <c r="D33" i="5"/>
  <c r="D22" i="5"/>
  <c r="F22" i="5"/>
  <c r="C22" i="5"/>
  <c r="E32" i="5"/>
  <c r="D32" i="5"/>
  <c r="C32" i="5"/>
  <c r="B23" i="5"/>
  <c r="B35" i="5" s="1"/>
  <c r="A23" i="5"/>
  <c r="A34" i="5"/>
  <c r="E34" i="5" l="1"/>
  <c r="C34" i="5"/>
  <c r="D34" i="5"/>
  <c r="C23" i="5"/>
  <c r="F23" i="5"/>
  <c r="D23" i="5"/>
  <c r="A35" i="5"/>
  <c r="E35" i="5" l="1"/>
  <c r="D35" i="5"/>
  <c r="C35" i="5"/>
  <c r="J13" i="2"/>
  <c r="K4" i="2" l="1"/>
  <c r="K12" i="2" l="1"/>
  <c r="K11" i="2"/>
  <c r="K10" i="2"/>
  <c r="K9" i="2"/>
  <c r="K8" i="2"/>
  <c r="K7" i="2"/>
  <c r="K6" i="2"/>
  <c r="K5" i="2"/>
  <c r="E2" i="2"/>
  <c r="E3" i="2"/>
  <c r="C3" i="2"/>
  <c r="A1" i="2"/>
  <c r="B3" i="2"/>
  <c r="A5" i="2"/>
  <c r="A6" i="2"/>
  <c r="A7" i="2"/>
  <c r="A8" i="2"/>
  <c r="A9" i="2"/>
  <c r="A10" i="2"/>
  <c r="A11" i="2"/>
  <c r="A12" i="2"/>
  <c r="A4" i="2"/>
  <c r="D7" i="7" l="1"/>
  <c r="D7" i="8" s="1"/>
  <c r="D6" i="7"/>
  <c r="D6" i="8" s="1"/>
  <c r="C3" i="7"/>
  <c r="C3" i="8" s="1"/>
  <c r="C4" i="7"/>
  <c r="C4" i="8" s="1"/>
  <c r="D11" i="7"/>
  <c r="D11" i="8" s="1"/>
  <c r="D9" i="7"/>
  <c r="D9" i="8" s="1"/>
  <c r="E3" i="7"/>
  <c r="E3" i="8" s="1"/>
  <c r="D4" i="2"/>
  <c r="E27" i="8" s="1"/>
  <c r="D35" i="7"/>
  <c r="G17" i="7"/>
  <c r="G17" i="8" s="1"/>
  <c r="F18" i="7"/>
  <c r="F18" i="8" s="1"/>
  <c r="G10" i="7"/>
  <c r="F11" i="5"/>
  <c r="G20" i="7"/>
  <c r="G20" i="8" s="1"/>
  <c r="G5" i="7"/>
  <c r="D34" i="7"/>
  <c r="C28" i="7"/>
  <c r="C28" i="8" s="1"/>
  <c r="F17" i="7"/>
  <c r="F17" i="8" s="1"/>
  <c r="D18" i="7"/>
  <c r="D18" i="8" s="1"/>
  <c r="H8" i="7"/>
  <c r="H8" i="8" s="1"/>
  <c r="G9" i="7"/>
  <c r="D3" i="7"/>
  <c r="H4" i="7"/>
  <c r="H4" i="8" s="1"/>
  <c r="G23" i="7"/>
  <c r="G23" i="8" s="1"/>
  <c r="G15" i="7"/>
  <c r="F16" i="7"/>
  <c r="F16" i="8" s="1"/>
  <c r="H7" i="7"/>
  <c r="H7" i="8" s="1"/>
  <c r="G8" i="7"/>
  <c r="D22" i="7"/>
  <c r="D22" i="8" s="1"/>
  <c r="C30" i="7"/>
  <c r="C30" i="8" s="1"/>
  <c r="F23" i="7"/>
  <c r="F23" i="8" s="1"/>
  <c r="F15" i="7"/>
  <c r="D16" i="7"/>
  <c r="D16" i="8" s="1"/>
  <c r="C22" i="7"/>
  <c r="H6" i="7"/>
  <c r="H6" i="8" s="1"/>
  <c r="G7" i="7"/>
  <c r="E8" i="7"/>
  <c r="E8" i="8" s="1"/>
  <c r="C5" i="7"/>
  <c r="D30" i="7"/>
  <c r="C16" i="7"/>
  <c r="D31" i="7"/>
  <c r="C31" i="7"/>
  <c r="C31" i="8" s="1"/>
  <c r="G21" i="7"/>
  <c r="G21" i="8" s="1"/>
  <c r="F22" i="7"/>
  <c r="F22" i="8" s="1"/>
  <c r="C23" i="7"/>
  <c r="H5" i="7"/>
  <c r="H5" i="8" s="1"/>
  <c r="G6" i="7"/>
  <c r="F7" i="5"/>
  <c r="C6" i="7"/>
  <c r="C6" i="8" s="1"/>
  <c r="C32" i="7"/>
  <c r="C32" i="8" s="1"/>
  <c r="D29" i="7"/>
  <c r="G19" i="7"/>
  <c r="G19" i="8" s="1"/>
  <c r="F20" i="7"/>
  <c r="F20" i="8" s="1"/>
  <c r="D21" i="7"/>
  <c r="D21" i="8" s="1"/>
  <c r="H11" i="7"/>
  <c r="H11" i="8" s="1"/>
  <c r="H3" i="7"/>
  <c r="G4" i="7"/>
  <c r="E5" i="7"/>
  <c r="E5" i="8" s="1"/>
  <c r="C8" i="7"/>
  <c r="C8" i="8" s="1"/>
  <c r="F21" i="7"/>
  <c r="F21" i="8" s="1"/>
  <c r="C34" i="7"/>
  <c r="C34" i="8" s="1"/>
  <c r="F19" i="7"/>
  <c r="F19" i="8" s="1"/>
  <c r="D20" i="7"/>
  <c r="D20" i="8" s="1"/>
  <c r="C18" i="7"/>
  <c r="H10" i="7"/>
  <c r="H10" i="8" s="1"/>
  <c r="G11" i="7"/>
  <c r="G3" i="7"/>
  <c r="E4" i="7"/>
  <c r="C11" i="7"/>
  <c r="C11" i="8" s="1"/>
  <c r="C15" i="7"/>
  <c r="C7" i="7"/>
  <c r="C7" i="8" s="1"/>
  <c r="C10" i="2"/>
  <c r="C7" i="2"/>
  <c r="C11" i="2"/>
  <c r="C6" i="2"/>
  <c r="C9" i="2"/>
  <c r="C5" i="2"/>
  <c r="C12" i="2"/>
  <c r="C8" i="2"/>
  <c r="E5" i="2"/>
  <c r="B4" i="2"/>
  <c r="E12" i="2"/>
  <c r="E8" i="2"/>
  <c r="E11" i="2"/>
  <c r="E7" i="2"/>
  <c r="F7" i="2" s="1"/>
  <c r="E10" i="2"/>
  <c r="E6" i="2"/>
  <c r="E4" i="2"/>
  <c r="E9" i="2"/>
  <c r="B11" i="2"/>
  <c r="B7" i="2"/>
  <c r="C4" i="2"/>
  <c r="B8" i="2"/>
  <c r="B12" i="2"/>
  <c r="B5" i="2"/>
  <c r="B9" i="2"/>
  <c r="B6" i="2"/>
  <c r="B10" i="2"/>
  <c r="D12" i="2" l="1"/>
  <c r="E35" i="8" s="1"/>
  <c r="D5" i="2"/>
  <c r="E28" i="8" s="1"/>
  <c r="D7" i="2"/>
  <c r="E30" i="8" s="1"/>
  <c r="D6" i="2"/>
  <c r="E29" i="8" s="1"/>
  <c r="D10" i="2"/>
  <c r="E33" i="8" s="1"/>
  <c r="D9" i="2"/>
  <c r="E32" i="8" s="1"/>
  <c r="D11" i="2"/>
  <c r="E34" i="8" s="1"/>
  <c r="D8" i="2"/>
  <c r="E31" i="8" s="1"/>
  <c r="F10" i="2"/>
  <c r="D8" i="7"/>
  <c r="F8" i="7" s="1"/>
  <c r="F8" i="5"/>
  <c r="D10" i="7"/>
  <c r="D10" i="8" s="1"/>
  <c r="F10" i="5"/>
  <c r="E9" i="7"/>
  <c r="E9" i="8" s="1"/>
  <c r="F9" i="5"/>
  <c r="D4" i="7"/>
  <c r="D4" i="8" s="1"/>
  <c r="F4" i="5"/>
  <c r="E6" i="7"/>
  <c r="E6" i="8" s="1"/>
  <c r="F6" i="5"/>
  <c r="D5" i="7"/>
  <c r="D5" i="8" s="1"/>
  <c r="F5" i="5"/>
  <c r="G9" i="8"/>
  <c r="D34" i="8"/>
  <c r="C19" i="7"/>
  <c r="C15" i="8"/>
  <c r="C18" i="8"/>
  <c r="E18" i="7"/>
  <c r="E7" i="7"/>
  <c r="F7" i="7" s="1"/>
  <c r="C22" i="8"/>
  <c r="E22" i="7"/>
  <c r="G5" i="8"/>
  <c r="D19" i="7"/>
  <c r="G31" i="7" s="1"/>
  <c r="G6" i="8"/>
  <c r="G30" i="7"/>
  <c r="D31" i="8"/>
  <c r="C29" i="7"/>
  <c r="C29" i="8" s="1"/>
  <c r="C20" i="7"/>
  <c r="E20" i="7" s="1"/>
  <c r="G15" i="8"/>
  <c r="C9" i="7"/>
  <c r="C9" i="8" s="1"/>
  <c r="C33" i="7"/>
  <c r="C33" i="8" s="1"/>
  <c r="C16" i="8"/>
  <c r="E16" i="7"/>
  <c r="F15" i="8"/>
  <c r="F24" i="8" s="1"/>
  <c r="F24" i="7"/>
  <c r="G8" i="8"/>
  <c r="D33" i="7"/>
  <c r="D33" i="8" s="1"/>
  <c r="C10" i="7"/>
  <c r="C12" i="7" s="1"/>
  <c r="G18" i="7"/>
  <c r="G18" i="8" s="1"/>
  <c r="G4" i="8"/>
  <c r="D29" i="8"/>
  <c r="C23" i="8"/>
  <c r="D30" i="8"/>
  <c r="C35" i="7"/>
  <c r="C35" i="8" s="1"/>
  <c r="C5" i="8"/>
  <c r="G22" i="7"/>
  <c r="G22" i="8" s="1"/>
  <c r="C21" i="7"/>
  <c r="E21" i="7" s="1"/>
  <c r="D3" i="8"/>
  <c r="F3" i="7"/>
  <c r="G16" i="7"/>
  <c r="E11" i="7"/>
  <c r="F11" i="7" s="1"/>
  <c r="D27" i="7"/>
  <c r="G3" i="8"/>
  <c r="G12" i="7"/>
  <c r="D23" i="7"/>
  <c r="E23" i="7" s="1"/>
  <c r="D17" i="7"/>
  <c r="C27" i="7"/>
  <c r="G10" i="8"/>
  <c r="G34" i="7"/>
  <c r="D35" i="8"/>
  <c r="E4" i="8"/>
  <c r="H3" i="8"/>
  <c r="F6" i="7"/>
  <c r="D15" i="7"/>
  <c r="D28" i="7"/>
  <c r="G11" i="8"/>
  <c r="C17" i="7"/>
  <c r="G7" i="8"/>
  <c r="D32" i="7"/>
  <c r="E10" i="7"/>
  <c r="H9" i="7"/>
  <c r="F11" i="2"/>
  <c r="F6" i="2"/>
  <c r="G27" i="5"/>
  <c r="L4" i="2"/>
  <c r="H12" i="5"/>
  <c r="F8" i="2"/>
  <c r="F5" i="2"/>
  <c r="F9" i="2"/>
  <c r="F12" i="2"/>
  <c r="E13" i="2"/>
  <c r="F4" i="2"/>
  <c r="C13" i="2"/>
  <c r="B18" i="3" s="1"/>
  <c r="L12" i="2" l="1"/>
  <c r="G33" i="7"/>
  <c r="F27" i="7"/>
  <c r="L9" i="2"/>
  <c r="L10" i="2"/>
  <c r="L5" i="2"/>
  <c r="L7" i="2"/>
  <c r="L6" i="2"/>
  <c r="L8" i="2"/>
  <c r="E36" i="8"/>
  <c r="D13" i="2"/>
  <c r="B17" i="3" s="1"/>
  <c r="L11" i="2"/>
  <c r="D8" i="8"/>
  <c r="F10" i="7"/>
  <c r="F10" i="8" s="1"/>
  <c r="F5" i="7"/>
  <c r="I5" i="7" s="1"/>
  <c r="G29" i="7"/>
  <c r="M29" i="7" s="1"/>
  <c r="C21" i="8"/>
  <c r="F9" i="7"/>
  <c r="F33" i="7" s="1"/>
  <c r="D12" i="7"/>
  <c r="F4" i="7"/>
  <c r="K28" i="7" s="1"/>
  <c r="C20" i="8"/>
  <c r="D19" i="8"/>
  <c r="K32" i="7"/>
  <c r="C10" i="8"/>
  <c r="C12" i="8" s="1"/>
  <c r="E12" i="7"/>
  <c r="E7" i="8"/>
  <c r="E10" i="8"/>
  <c r="H9" i="8"/>
  <c r="H12" i="8" s="1"/>
  <c r="E19" i="7"/>
  <c r="K31" i="7" s="1"/>
  <c r="K30" i="7"/>
  <c r="G24" i="7"/>
  <c r="G16" i="8"/>
  <c r="G24" i="8" s="1"/>
  <c r="H12" i="7"/>
  <c r="M33" i="7"/>
  <c r="D36" i="7"/>
  <c r="F11" i="8"/>
  <c r="F35" i="7"/>
  <c r="I11" i="7"/>
  <c r="G32" i="7"/>
  <c r="F7" i="8"/>
  <c r="F31" i="7"/>
  <c r="I7" i="7"/>
  <c r="D17" i="8"/>
  <c r="D24" i="7"/>
  <c r="D23" i="8"/>
  <c r="D28" i="8"/>
  <c r="K35" i="7"/>
  <c r="D32" i="8"/>
  <c r="C19" i="8"/>
  <c r="M31" i="7"/>
  <c r="E11" i="8"/>
  <c r="G28" i="7"/>
  <c r="M28" i="7" s="1"/>
  <c r="E17" i="7"/>
  <c r="F6" i="8"/>
  <c r="F30" i="7"/>
  <c r="I6" i="7"/>
  <c r="M34" i="7"/>
  <c r="C17" i="8"/>
  <c r="G27" i="7"/>
  <c r="C24" i="7"/>
  <c r="C36" i="7"/>
  <c r="E15" i="7"/>
  <c r="K27" i="7" s="1"/>
  <c r="F8" i="8"/>
  <c r="I8" i="7"/>
  <c r="F32" i="7"/>
  <c r="D15" i="8"/>
  <c r="G35" i="7"/>
  <c r="M35" i="7" s="1"/>
  <c r="G12" i="8"/>
  <c r="I3" i="7"/>
  <c r="C27" i="8"/>
  <c r="C36" i="8" s="1"/>
  <c r="D27" i="8"/>
  <c r="D12" i="8"/>
  <c r="M30" i="7"/>
  <c r="M27" i="5"/>
  <c r="F13" i="2"/>
  <c r="B15" i="3" s="1"/>
  <c r="I9" i="7" l="1"/>
  <c r="F9" i="8"/>
  <c r="K33" i="7"/>
  <c r="B16" i="3"/>
  <c r="K34" i="7"/>
  <c r="I10" i="7"/>
  <c r="F29" i="7"/>
  <c r="L29" i="7" s="1"/>
  <c r="F34" i="7"/>
  <c r="L34" i="7" s="1"/>
  <c r="F5" i="8"/>
  <c r="K29" i="7"/>
  <c r="F12" i="7"/>
  <c r="K5" i="7" s="1"/>
  <c r="I4" i="7"/>
  <c r="F4" i="8"/>
  <c r="F28" i="7"/>
  <c r="L28" i="7" s="1"/>
  <c r="C24" i="8"/>
  <c r="E12" i="8"/>
  <c r="D24" i="8"/>
  <c r="E24" i="7"/>
  <c r="L33" i="7"/>
  <c r="G27" i="8"/>
  <c r="L27" i="8" s="1"/>
  <c r="M27" i="7"/>
  <c r="G36" i="7"/>
  <c r="L35" i="7"/>
  <c r="L32" i="7"/>
  <c r="L30" i="7"/>
  <c r="L31" i="7"/>
  <c r="L27" i="7"/>
  <c r="D36" i="8"/>
  <c r="M32" i="7"/>
  <c r="E36" i="5"/>
  <c r="M36" i="7" l="1"/>
  <c r="K3" i="7"/>
  <c r="I12" i="7"/>
  <c r="K6" i="7" s="1"/>
  <c r="F36" i="7"/>
  <c r="K4" i="7" s="1"/>
  <c r="K36" i="7"/>
  <c r="K7" i="7"/>
  <c r="J27" i="8"/>
  <c r="E20" i="5"/>
  <c r="E21" i="5"/>
  <c r="G32" i="5"/>
  <c r="G32" i="8" s="1"/>
  <c r="G29" i="5"/>
  <c r="G29" i="8" s="1"/>
  <c r="G33" i="5"/>
  <c r="G33" i="8" s="1"/>
  <c r="G34" i="5"/>
  <c r="G34" i="8" s="1"/>
  <c r="G30" i="5"/>
  <c r="G30" i="8" s="1"/>
  <c r="I7" i="5"/>
  <c r="I7" i="8" s="1"/>
  <c r="G35" i="5"/>
  <c r="G35" i="8" s="1"/>
  <c r="L36" i="7" l="1"/>
  <c r="B23" i="3" s="1"/>
  <c r="K33" i="5"/>
  <c r="E21" i="8"/>
  <c r="H33" i="8" s="1"/>
  <c r="L35" i="8"/>
  <c r="J35" i="8"/>
  <c r="L34" i="8"/>
  <c r="J34" i="8"/>
  <c r="J29" i="8"/>
  <c r="L29" i="8"/>
  <c r="K32" i="5"/>
  <c r="E20" i="8"/>
  <c r="H32" i="8" s="1"/>
  <c r="L30" i="8"/>
  <c r="J30" i="8"/>
  <c r="J33" i="8"/>
  <c r="L33" i="8"/>
  <c r="L32" i="8"/>
  <c r="J32" i="8"/>
  <c r="M34" i="5"/>
  <c r="M29" i="5"/>
  <c r="M30" i="5"/>
  <c r="M33" i="5"/>
  <c r="M32" i="5"/>
  <c r="M35" i="5"/>
  <c r="E16" i="5"/>
  <c r="I5" i="5"/>
  <c r="I5" i="8" s="1"/>
  <c r="C36" i="5"/>
  <c r="D36" i="5"/>
  <c r="I9" i="5"/>
  <c r="I9" i="8" s="1"/>
  <c r="G31" i="5"/>
  <c r="G31" i="8" s="1"/>
  <c r="E15" i="5"/>
  <c r="C24" i="5"/>
  <c r="I11" i="5"/>
  <c r="I11" i="8" s="1"/>
  <c r="E23" i="5"/>
  <c r="E22" i="5"/>
  <c r="D24" i="5"/>
  <c r="E19" i="5"/>
  <c r="E18" i="5"/>
  <c r="E17" i="5"/>
  <c r="I4" i="5"/>
  <c r="I4" i="8" s="1"/>
  <c r="F24" i="5"/>
  <c r="D12" i="5"/>
  <c r="C12" i="5"/>
  <c r="G12" i="5"/>
  <c r="G28" i="5"/>
  <c r="I6" i="5"/>
  <c r="I6" i="8" s="1"/>
  <c r="I8" i="5"/>
  <c r="I8" i="8" s="1"/>
  <c r="F3" i="5"/>
  <c r="F3" i="8" s="1"/>
  <c r="E12" i="5"/>
  <c r="I10" i="5"/>
  <c r="I10" i="8" s="1"/>
  <c r="E15" i="8" l="1"/>
  <c r="K27" i="5"/>
  <c r="L31" i="5"/>
  <c r="F31" i="8"/>
  <c r="L35" i="5"/>
  <c r="F35" i="8"/>
  <c r="K34" i="5"/>
  <c r="E22" i="8"/>
  <c r="H34" i="8" s="1"/>
  <c r="M28" i="5"/>
  <c r="G28" i="8"/>
  <c r="K28" i="5"/>
  <c r="E16" i="8"/>
  <c r="H28" i="8" s="1"/>
  <c r="K29" i="5"/>
  <c r="E17" i="8"/>
  <c r="H29" i="8" s="1"/>
  <c r="K30" i="5"/>
  <c r="E18" i="8"/>
  <c r="H30" i="8" s="1"/>
  <c r="L31" i="8"/>
  <c r="J31" i="8"/>
  <c r="K35" i="5"/>
  <c r="E23" i="8"/>
  <c r="H35" i="8" s="1"/>
  <c r="L29" i="5"/>
  <c r="F29" i="8"/>
  <c r="K31" i="5"/>
  <c r="E19" i="8"/>
  <c r="H31" i="8" s="1"/>
  <c r="F12" i="8"/>
  <c r="H27" i="8"/>
  <c r="L27" i="5"/>
  <c r="M31" i="5"/>
  <c r="G36" i="5"/>
  <c r="K3" i="5" s="1"/>
  <c r="I3" i="5"/>
  <c r="I3" i="8" s="1"/>
  <c r="I12" i="8" s="1"/>
  <c r="E24" i="5"/>
  <c r="K7" i="5" s="1"/>
  <c r="F12" i="5"/>
  <c r="F27" i="8" l="1"/>
  <c r="K6" i="8"/>
  <c r="L28" i="5"/>
  <c r="F28" i="8"/>
  <c r="E24" i="8"/>
  <c r="K7" i="8" s="1"/>
  <c r="K35" i="8"/>
  <c r="I35" i="8"/>
  <c r="L32" i="5"/>
  <c r="F32" i="8"/>
  <c r="K31" i="8"/>
  <c r="I31" i="8"/>
  <c r="L28" i="8"/>
  <c r="L36" i="8" s="1"/>
  <c r="J28" i="8"/>
  <c r="G36" i="8"/>
  <c r="K3" i="8" s="1"/>
  <c r="K29" i="8"/>
  <c r="I29" i="8"/>
  <c r="L33" i="5"/>
  <c r="F33" i="8"/>
  <c r="L30" i="5"/>
  <c r="F30" i="8"/>
  <c r="L34" i="5"/>
  <c r="F34" i="8"/>
  <c r="B19" i="3"/>
  <c r="K5" i="8"/>
  <c r="I12" i="5"/>
  <c r="K6" i="5" s="1"/>
  <c r="M36" i="5"/>
  <c r="K36" i="5"/>
  <c r="F36" i="5"/>
  <c r="K5" i="5"/>
  <c r="K27" i="8" l="1"/>
  <c r="I27" i="8"/>
  <c r="H36" i="8"/>
  <c r="F36" i="8"/>
  <c r="K33" i="8"/>
  <c r="I33" i="8"/>
  <c r="I32" i="8"/>
  <c r="K32" i="8"/>
  <c r="J36" i="8"/>
  <c r="I30" i="8"/>
  <c r="K30" i="8"/>
  <c r="I28" i="8"/>
  <c r="K28" i="8"/>
  <c r="K34" i="8"/>
  <c r="I34" i="8"/>
  <c r="K4" i="5"/>
  <c r="L36" i="5"/>
  <c r="B22" i="3" s="1"/>
  <c r="B26" i="3" l="1"/>
  <c r="B25" i="3"/>
  <c r="I36" i="8"/>
  <c r="K4" i="8"/>
  <c r="B24" i="3" s="1"/>
  <c r="K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Parker, John [IDOM]</author>
  </authors>
  <commentList>
    <comment ref="B2" authorId="0" shapeId="0" xr:uid="{CDFD5B60-2DEF-48DB-896C-CFF512373436}">
      <text>
        <r>
          <rPr>
            <b/>
            <sz val="12"/>
            <color indexed="81"/>
            <rFont val="Tahoma"/>
            <family val="2"/>
          </rPr>
          <t>Select Payment Month Using Dropdown</t>
        </r>
      </text>
    </comment>
  </commentList>
</comments>
</file>

<file path=xl/sharedStrings.xml><?xml version="1.0" encoding="utf-8"?>
<sst xmlns="http://schemas.openxmlformats.org/spreadsheetml/2006/main" count="1519" uniqueCount="775">
  <si>
    <t>Original Budget</t>
  </si>
  <si>
    <t>Pay1 - Sept - May</t>
  </si>
  <si>
    <t>Pay 2 Final</t>
  </si>
  <si>
    <t>Paid Thru September</t>
  </si>
  <si>
    <t>Paid Thru October</t>
  </si>
  <si>
    <t>Paid Thru November</t>
  </si>
  <si>
    <t>Paid Thru December</t>
  </si>
  <si>
    <t>Paid Thru January</t>
  </si>
  <si>
    <t>Paid Thru February</t>
  </si>
  <si>
    <t>Paid Thru March</t>
  </si>
  <si>
    <t>Paid Thru April</t>
  </si>
  <si>
    <t>Paid Thru May</t>
  </si>
  <si>
    <t>Paid Thru June</t>
  </si>
  <si>
    <t>01</t>
  </si>
  <si>
    <t>05</t>
  </si>
  <si>
    <t>07</t>
  </si>
  <si>
    <t>09</t>
  </si>
  <si>
    <t>10</t>
  </si>
  <si>
    <t>11</t>
  </si>
  <si>
    <t>12</t>
  </si>
  <si>
    <t>13</t>
  </si>
  <si>
    <t>15</t>
  </si>
  <si>
    <t>Fiscal Year</t>
  </si>
  <si>
    <t>Pick List for Payment Month</t>
  </si>
  <si>
    <t>September</t>
  </si>
  <si>
    <t>Pay 1</t>
  </si>
  <si>
    <t>October</t>
  </si>
  <si>
    <t>November</t>
  </si>
  <si>
    <t>December</t>
  </si>
  <si>
    <t>January</t>
  </si>
  <si>
    <t>Pay 2</t>
  </si>
  <si>
    <t>February</t>
  </si>
  <si>
    <t>March</t>
  </si>
  <si>
    <t>April</t>
  </si>
  <si>
    <t>May</t>
  </si>
  <si>
    <t>June</t>
  </si>
  <si>
    <t>Original
Budget</t>
  </si>
  <si>
    <t>Amount
Remaining</t>
  </si>
  <si>
    <t>Checks</t>
  </si>
  <si>
    <t>Should Equal zero</t>
  </si>
  <si>
    <t>Amount paid + Remaining - Budget</t>
  </si>
  <si>
    <t>Should equal 0</t>
  </si>
  <si>
    <t>Change To AEA</t>
  </si>
  <si>
    <t>Pay from SAS</t>
  </si>
  <si>
    <t>Payment *Pay - Paid</t>
  </si>
  <si>
    <t>SAS vs SAS</t>
  </si>
  <si>
    <t>Payment Number for Check</t>
  </si>
  <si>
    <t>AEA</t>
  </si>
  <si>
    <t>AEA Name</t>
  </si>
  <si>
    <t>Keystone AEA 1</t>
  </si>
  <si>
    <t>Prairie Lakes AEA 8</t>
  </si>
  <si>
    <t>Central Rivers</t>
  </si>
  <si>
    <t>Mississippi Bend AEA 9</t>
  </si>
  <si>
    <t>Grant Wood AEA 10</t>
  </si>
  <si>
    <t>Heartland AEA 11</t>
  </si>
  <si>
    <t>Northwest AEA</t>
  </si>
  <si>
    <t>Green Hills AEA 13</t>
  </si>
  <si>
    <t>Great Prairie AEA 15</t>
  </si>
  <si>
    <t>Aid and Levy Line 16.9 vs. Total</t>
  </si>
  <si>
    <t>Control</t>
  </si>
  <si>
    <t>Will not Equal Zero on the last payment because the final payment is the difference of what has been paid vs what is left, so does not equal the the total amount paid. Off by $1,200 to $1,500</t>
  </si>
  <si>
    <t>FiscalYear</t>
  </si>
  <si>
    <t>Dist</t>
  </si>
  <si>
    <t>District</t>
  </si>
  <si>
    <t>AEA Special Ed Support District Cost Formula Generated</t>
  </si>
  <si>
    <t>State Aid Portion Special Ed</t>
  </si>
  <si>
    <t>AEA Statewide State Aid Reduction</t>
  </si>
  <si>
    <t>State Aid Special Ed Minus Reduction</t>
  </si>
  <si>
    <t>Special Education Property Tax Portion</t>
  </si>
  <si>
    <t>AEA Special Ed Support Adjustment</t>
  </si>
  <si>
    <t>Total Special Ed Funding Removing Reduction Including Adjustment</t>
  </si>
  <si>
    <t>State Aid Portion Sharing Operations</t>
  </si>
  <si>
    <t>Sharing Operations Property Tax</t>
  </si>
  <si>
    <t>Total AEA Sharing Operations</t>
  </si>
  <si>
    <t>AEA Teacher Salary Supplement District Cost</t>
  </si>
  <si>
    <t>AEA Professional Development Supplement District Cost</t>
  </si>
  <si>
    <t>AEA Media Services District Cost</t>
  </si>
  <si>
    <t>AEA Ed Services District Cost</t>
  </si>
  <si>
    <t>Total Budget</t>
  </si>
  <si>
    <t>State Aid Portion</t>
  </si>
  <si>
    <t>Property Tax Portion</t>
  </si>
  <si>
    <t>Adair-Casey</t>
  </si>
  <si>
    <t>Adel-Desoto-Minburn</t>
  </si>
  <si>
    <t>AGWSR</t>
  </si>
  <si>
    <t>AHSTW</t>
  </si>
  <si>
    <t>Akron-Westfield</t>
  </si>
  <si>
    <t>Albert City-Truesdale</t>
  </si>
  <si>
    <t>Albia</t>
  </si>
  <si>
    <t>Alburnett</t>
  </si>
  <si>
    <t>Alden</t>
  </si>
  <si>
    <t>Algona</t>
  </si>
  <si>
    <t>Allamakee</t>
  </si>
  <si>
    <t>Alta-Aurelia</t>
  </si>
  <si>
    <t>Ames</t>
  </si>
  <si>
    <t>Anamosa</t>
  </si>
  <si>
    <t>Andrew</t>
  </si>
  <si>
    <t>Ankeny</t>
  </si>
  <si>
    <t>Aplington-Parkersburg</t>
  </si>
  <si>
    <t>Ar-We-Va</t>
  </si>
  <si>
    <t>Atlantic</t>
  </si>
  <si>
    <t>Audubon</t>
  </si>
  <si>
    <t>Ballard</t>
  </si>
  <si>
    <t>Baxter</t>
  </si>
  <si>
    <t>BCLUW</t>
  </si>
  <si>
    <t>Bedford</t>
  </si>
  <si>
    <t>Belle Plaine</t>
  </si>
  <si>
    <t>Bellevue</t>
  </si>
  <si>
    <t>Belmond-Klemme</t>
  </si>
  <si>
    <t>Bennett</t>
  </si>
  <si>
    <t>Benton</t>
  </si>
  <si>
    <t>Bettendorf</t>
  </si>
  <si>
    <t>Bondurant-Farrar</t>
  </si>
  <si>
    <t>Boone</t>
  </si>
  <si>
    <t>Boyden-Hull</t>
  </si>
  <si>
    <t>Boyer Valley</t>
  </si>
  <si>
    <t>Brooklyn-Guernsey-Malcom</t>
  </si>
  <si>
    <t>Burlington</t>
  </si>
  <si>
    <t>CAL</t>
  </si>
  <si>
    <t>Calamus-Wheatland</t>
  </si>
  <si>
    <t>CAM</t>
  </si>
  <si>
    <t>Camanche</t>
  </si>
  <si>
    <t>Cardinal</t>
  </si>
  <si>
    <t>Carlisle</t>
  </si>
  <si>
    <t>Carroll</t>
  </si>
  <si>
    <t>Cedar Falls</t>
  </si>
  <si>
    <t>Cedar Rapids</t>
  </si>
  <si>
    <t>Center Point-Urbana</t>
  </si>
  <si>
    <t>Centerville</t>
  </si>
  <si>
    <t>Central City</t>
  </si>
  <si>
    <t>Central Clayton</t>
  </si>
  <si>
    <t>Central De Witt</t>
  </si>
  <si>
    <t>Central Decatur</t>
  </si>
  <si>
    <t>Central Lee</t>
  </si>
  <si>
    <t>Central Lyon</t>
  </si>
  <si>
    <t>Central Springs</t>
  </si>
  <si>
    <t>Chariton</t>
  </si>
  <si>
    <t>Charles City</t>
  </si>
  <si>
    <t>Charter Oak-Ute</t>
  </si>
  <si>
    <t>Cherokee</t>
  </si>
  <si>
    <t>Clarinda</t>
  </si>
  <si>
    <t>Clarion-Goldfield-Dows</t>
  </si>
  <si>
    <t>Clarke</t>
  </si>
  <si>
    <t>Clarksville</t>
  </si>
  <si>
    <t>Clay Central-Everly</t>
  </si>
  <si>
    <t>Clayton Ridge</t>
  </si>
  <si>
    <t>Clear Creek-Amana</t>
  </si>
  <si>
    <t>Clear Lake</t>
  </si>
  <si>
    <t>Clinton</t>
  </si>
  <si>
    <t>Colfax-Mingo</t>
  </si>
  <si>
    <t>College Community</t>
  </si>
  <si>
    <t>Collins-Maxwell</t>
  </si>
  <si>
    <t>Colo-Nesco</t>
  </si>
  <si>
    <t>Columbus</t>
  </si>
  <si>
    <t>Coon Rapids-Bayard</t>
  </si>
  <si>
    <t>Corning</t>
  </si>
  <si>
    <t>Council Bluffs</t>
  </si>
  <si>
    <t>Creston</t>
  </si>
  <si>
    <t>Dallas Center-Grimes</t>
  </si>
  <si>
    <t>Danville</t>
  </si>
  <si>
    <t>Davenport</t>
  </si>
  <si>
    <t>Davis County</t>
  </si>
  <si>
    <t>Decorah</t>
  </si>
  <si>
    <t>Delwood</t>
  </si>
  <si>
    <t>Denison</t>
  </si>
  <si>
    <t>Denver</t>
  </si>
  <si>
    <t>Des Moines</t>
  </si>
  <si>
    <t>Diagonal</t>
  </si>
  <si>
    <t>Dike-New Hartford</t>
  </si>
  <si>
    <t>Dubuque</t>
  </si>
  <si>
    <t>Dunkerton</t>
  </si>
  <si>
    <t>Durant</t>
  </si>
  <si>
    <t>Eagle Grove</t>
  </si>
  <si>
    <t>Earlham</t>
  </si>
  <si>
    <t>East Buchanan</t>
  </si>
  <si>
    <t>East Marshall</t>
  </si>
  <si>
    <t>East Mills</t>
  </si>
  <si>
    <t>East Sac County</t>
  </si>
  <si>
    <t>East Union</t>
  </si>
  <si>
    <t>Eastern Allamakee</t>
  </si>
  <si>
    <t>Easton Valley</t>
  </si>
  <si>
    <t>Eddyville-Blakesburg-Fremont</t>
  </si>
  <si>
    <t>Edgewood-Colesburg</t>
  </si>
  <si>
    <t>Eldora-New Providence</t>
  </si>
  <si>
    <t>Emmetsburg</t>
  </si>
  <si>
    <t>English Valleys</t>
  </si>
  <si>
    <t>Essex</t>
  </si>
  <si>
    <t>Estherville-Lincoln Central</t>
  </si>
  <si>
    <t>Exira-Elk Horn-Kimballton</t>
  </si>
  <si>
    <t>Fairfield</t>
  </si>
  <si>
    <t>Forest City</t>
  </si>
  <si>
    <t>Fort Dodge</t>
  </si>
  <si>
    <t>Fort Madison</t>
  </si>
  <si>
    <t>Fremont-Mills</t>
  </si>
  <si>
    <t>Galva-Holstein</t>
  </si>
  <si>
    <t>Garner-Hayfield-Ventura</t>
  </si>
  <si>
    <t>George-Little Rock</t>
  </si>
  <si>
    <t>Gilbert</t>
  </si>
  <si>
    <t>Gilmore City-Bradgate</t>
  </si>
  <si>
    <t>Gladbrook-Reinbeck</t>
  </si>
  <si>
    <t>Glenwood</t>
  </si>
  <si>
    <t>Glidden-Ralston</t>
  </si>
  <si>
    <t>GMG</t>
  </si>
  <si>
    <t>Graettinger-Terril</t>
  </si>
  <si>
    <t>Greene County</t>
  </si>
  <si>
    <t>Grinnell-Newburg</t>
  </si>
  <si>
    <t>Griswold</t>
  </si>
  <si>
    <t>Grundy Center</t>
  </si>
  <si>
    <t>Guthrie Center</t>
  </si>
  <si>
    <t>Hamburg</t>
  </si>
  <si>
    <t>Hampton-Dumont</t>
  </si>
  <si>
    <t>Harlan</t>
  </si>
  <si>
    <t>Harris-Lake Park</t>
  </si>
  <si>
    <t>Hartley-Melvin-Sanborn</t>
  </si>
  <si>
    <t>Highland</t>
  </si>
  <si>
    <t>Hinton</t>
  </si>
  <si>
    <t>HLV</t>
  </si>
  <si>
    <t>Howard-Winneshiek</t>
  </si>
  <si>
    <t>Hubbard-Radcliffe</t>
  </si>
  <si>
    <t>Hudson</t>
  </si>
  <si>
    <t>Humboldt</t>
  </si>
  <si>
    <t>IKM-Manning</t>
  </si>
  <si>
    <t>Independence</t>
  </si>
  <si>
    <t>Indianola</t>
  </si>
  <si>
    <t>Interstate 35</t>
  </si>
  <si>
    <t>Iowa City</t>
  </si>
  <si>
    <t>Iowa Falls</t>
  </si>
  <si>
    <t>Iowa Valley</t>
  </si>
  <si>
    <t>Janesville</t>
  </si>
  <si>
    <t>Jesup</t>
  </si>
  <si>
    <t>Johnston</t>
  </si>
  <si>
    <t>Keokuk</t>
  </si>
  <si>
    <t>Keota</t>
  </si>
  <si>
    <t>Kingsley-Pierson</t>
  </si>
  <si>
    <t>Knoxville</t>
  </si>
  <si>
    <t>Lake Mills</t>
  </si>
  <si>
    <t>Lamoni</t>
  </si>
  <si>
    <t>Laurens-Marathon</t>
  </si>
  <si>
    <t>Lawton-Bronson</t>
  </si>
  <si>
    <t>Le Mars</t>
  </si>
  <si>
    <t>Lenox</t>
  </si>
  <si>
    <t>Lewis Central</t>
  </si>
  <si>
    <t>Linn-Mar</t>
  </si>
  <si>
    <t>Lisbon</t>
  </si>
  <si>
    <t>Logan-Magnolia</t>
  </si>
  <si>
    <t>Lone Tree</t>
  </si>
  <si>
    <t>Louisa-Muscatine</t>
  </si>
  <si>
    <t>Lynnville-Sully</t>
  </si>
  <si>
    <t>Madrid</t>
  </si>
  <si>
    <t>Manson-Northwest Webster</t>
  </si>
  <si>
    <t>Maple Valley-Anthon Oto</t>
  </si>
  <si>
    <t>Maquoketa</t>
  </si>
  <si>
    <t>Maquoketa Valley</t>
  </si>
  <si>
    <t>Marcus-Meriden Cleghorn</t>
  </si>
  <si>
    <t>Marion</t>
  </si>
  <si>
    <t>Marshalltown</t>
  </si>
  <si>
    <t>Martensdale-St Marys</t>
  </si>
  <si>
    <t>Mason City</t>
  </si>
  <si>
    <t>Mediapolis</t>
  </si>
  <si>
    <t>Melcher-Dallas</t>
  </si>
  <si>
    <t>MFL Mar Mac</t>
  </si>
  <si>
    <t>Mid-Prairie</t>
  </si>
  <si>
    <t>Midland</t>
  </si>
  <si>
    <t>Missouri Valley</t>
  </si>
  <si>
    <t>Moc-Floyd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</si>
  <si>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</si>
  <si>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</si>
  <si>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</si>
  <si>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</si>
  <si>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</si>
  <si>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</si>
  <si>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</si>
  <si>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</si>
  <si>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</si>
  <si>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</si>
  <si>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</si>
  <si>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</si>
  <si>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</si>
  <si>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</si>
  <si>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</si>
  <si>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</si>
  <si>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</si>
  <si>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Nodaway Valley</t>
  </si>
  <si>
    <t>North Butler</t>
  </si>
  <si>
    <t>North Cedar</t>
  </si>
  <si>
    <t>North Fayette Valley</t>
  </si>
  <si>
    <t>North Iowa</t>
  </si>
  <si>
    <t>North Kossuth</t>
  </si>
  <si>
    <t>North Linn</t>
  </si>
  <si>
    <t>North Mahaska</t>
  </si>
  <si>
    <t>North Polk</t>
  </si>
  <si>
    <t>North Scott</t>
  </si>
  <si>
    <t>North Tama</t>
  </si>
  <si>
    <t>North Union</t>
  </si>
  <si>
    <t>Northeast</t>
  </si>
  <si>
    <t>Northwood-Kensett</t>
  </si>
  <si>
    <t>Norwalk</t>
  </si>
  <si>
    <t>Odebolt Arthur Battle Creek Ida Gr</t>
  </si>
  <si>
    <t>Oelwein</t>
  </si>
  <si>
    <t>Ogden</t>
  </si>
  <si>
    <t>Okoboji</t>
  </si>
  <si>
    <t>Olin</t>
  </si>
  <si>
    <t>Orient-Macksburg</t>
  </si>
  <si>
    <t>Osage</t>
  </si>
  <si>
    <t>Oskaloosa</t>
  </si>
  <si>
    <t>Ottumwa</t>
  </si>
  <si>
    <t>Panorama</t>
  </si>
  <si>
    <t>Paton-Churdan</t>
  </si>
  <si>
    <t>PCM</t>
  </si>
  <si>
    <t>Pekin</t>
  </si>
  <si>
    <t>Pella</t>
  </si>
  <si>
    <t>Perry</t>
  </si>
  <si>
    <t>Pleasant Valley</t>
  </si>
  <si>
    <t>Pleasantville</t>
  </si>
  <si>
    <t>Pocahontas Area</t>
  </si>
  <si>
    <t>Postville</t>
  </si>
  <si>
    <t>Red Oak</t>
  </si>
  <si>
    <t>Remsen-Union</t>
  </si>
  <si>
    <t>Riceville</t>
  </si>
  <si>
    <t>River Valley</t>
  </si>
  <si>
    <t>Riverside</t>
  </si>
  <si>
    <t>Rock Valley</t>
  </si>
  <si>
    <t>Roland-Story</t>
  </si>
  <si>
    <t>Rudd-Rockford-Marble Rock</t>
  </si>
  <si>
    <t>Ruthven-Ayrshire</t>
  </si>
  <si>
    <t>Saydel</t>
  </si>
  <si>
    <t>Schaller-Crestland</t>
  </si>
  <si>
    <t>Schleswig</t>
  </si>
  <si>
    <t>Sergeant Bluff-Luton</t>
  </si>
  <si>
    <t>Seymour</t>
  </si>
  <si>
    <t>Sheldon</t>
  </si>
  <si>
    <t>Shenandoah</t>
  </si>
  <si>
    <t>Sibley-Ocheyedan</t>
  </si>
  <si>
    <t>Sidney</t>
  </si>
  <si>
    <t>Sigourney</t>
  </si>
  <si>
    <t>Sioux Center</t>
  </si>
  <si>
    <t>Sioux Central</t>
  </si>
  <si>
    <t>Sioux City</t>
  </si>
  <si>
    <t>Solon</t>
  </si>
  <si>
    <t>South Central Calhoun</t>
  </si>
  <si>
    <t>South Hamilton</t>
  </si>
  <si>
    <t>South O'Brien</t>
  </si>
  <si>
    <t>South Page</t>
  </si>
  <si>
    <t>South Tama</t>
  </si>
  <si>
    <t>South Winneshiek</t>
  </si>
  <si>
    <t>Southeast Polk</t>
  </si>
  <si>
    <t>Southeast Valley</t>
  </si>
  <si>
    <t>Southeast Warren</t>
  </si>
  <si>
    <t>Spencer</t>
  </si>
  <si>
    <t>Spirit Lake</t>
  </si>
  <si>
    <t>Springville</t>
  </si>
  <si>
    <t>St Ansgar</t>
  </si>
  <si>
    <t>Stanton</t>
  </si>
  <si>
    <t>Starmont</t>
  </si>
  <si>
    <t>Storm Lake</t>
  </si>
  <si>
    <t>Stratford</t>
  </si>
  <si>
    <t>Sumner-Fredericksburg</t>
  </si>
  <si>
    <t>Tipton</t>
  </si>
  <si>
    <t>Treynor</t>
  </si>
  <si>
    <t>Tri-Center</t>
  </si>
  <si>
    <t>Tri-County</t>
  </si>
  <si>
    <t>Tripoli</t>
  </si>
  <si>
    <t>Turkey Valley</t>
  </si>
  <si>
    <t>Twin Cedars</t>
  </si>
  <si>
    <t>Twin Rivers</t>
  </si>
  <si>
    <t>Underwood</t>
  </si>
  <si>
    <t>Union</t>
  </si>
  <si>
    <t>United</t>
  </si>
  <si>
    <t>Urbandale</t>
  </si>
  <si>
    <t>Van Buren County</t>
  </si>
  <si>
    <t>Van Meter</t>
  </si>
  <si>
    <t>Villisca</t>
  </si>
  <si>
    <t>Vinton-Shellsburg</t>
  </si>
  <si>
    <t>Waco</t>
  </si>
  <si>
    <t>Wapello</t>
  </si>
  <si>
    <t>Wapsie Valley</t>
  </si>
  <si>
    <t>Washington</t>
  </si>
  <si>
    <t>Waterloo</t>
  </si>
  <si>
    <t>Waukee</t>
  </si>
  <si>
    <t>Waverly-Shell Rock</t>
  </si>
  <si>
    <t>Wayne</t>
  </si>
  <si>
    <t>Webster City</t>
  </si>
  <si>
    <t>West Bend-Mallard</t>
  </si>
  <si>
    <t>West Branch</t>
  </si>
  <si>
    <t>West Burlington</t>
  </si>
  <si>
    <t>West Central</t>
  </si>
  <si>
    <t>West Central Valley</t>
  </si>
  <si>
    <t>West Delaware Co</t>
  </si>
  <si>
    <t>West Des Moines</t>
  </si>
  <si>
    <t>West Fork</t>
  </si>
  <si>
    <t>West Hancock</t>
  </si>
  <si>
    <t>West Harrison</t>
  </si>
  <si>
    <t>West Liberty</t>
  </si>
  <si>
    <t>West Lyon</t>
  </si>
  <si>
    <t>West Marshall</t>
  </si>
  <si>
    <t>West Monona</t>
  </si>
  <si>
    <t>West Sioux</t>
  </si>
  <si>
    <t>Western Dubuque Co</t>
  </si>
  <si>
    <t>Westwood</t>
  </si>
  <si>
    <t>Whiting</t>
  </si>
  <si>
    <t>Williamsburg</t>
  </si>
  <si>
    <t>Wilton</t>
  </si>
  <si>
    <t>Winfield-Mt Union</t>
  </si>
  <si>
    <t>Winterset</t>
  </si>
  <si>
    <t>Woodbine</t>
  </si>
  <si>
    <t>Woodbury Central</t>
  </si>
  <si>
    <t>Woodward-Granger</t>
  </si>
  <si>
    <t>0018</t>
  </si>
  <si>
    <t>0027</t>
  </si>
  <si>
    <t>0009</t>
  </si>
  <si>
    <t>0441</t>
  </si>
  <si>
    <t>0063</t>
  </si>
  <si>
    <t>0072</t>
  </si>
  <si>
    <t>0081</t>
  </si>
  <si>
    <t>0099</t>
  </si>
  <si>
    <t>0108</t>
  </si>
  <si>
    <t>0126</t>
  </si>
  <si>
    <t>0135</t>
  </si>
  <si>
    <t>0171</t>
  </si>
  <si>
    <t>0225</t>
  </si>
  <si>
    <t>0234</t>
  </si>
  <si>
    <t>0243</t>
  </si>
  <si>
    <t>0261</t>
  </si>
  <si>
    <t>0279</t>
  </si>
  <si>
    <t>0355</t>
  </si>
  <si>
    <t>0387</t>
  </si>
  <si>
    <t>0414</t>
  </si>
  <si>
    <t>0472</t>
  </si>
  <si>
    <t>0513</t>
  </si>
  <si>
    <t>0540</t>
  </si>
  <si>
    <t>0549</t>
  </si>
  <si>
    <t>0576</t>
  </si>
  <si>
    <t>0585</t>
  </si>
  <si>
    <t>0594</t>
  </si>
  <si>
    <t>0603</t>
  </si>
  <si>
    <t>0609</t>
  </si>
  <si>
    <t>0621</t>
  </si>
  <si>
    <t>0720</t>
  </si>
  <si>
    <t>0729</t>
  </si>
  <si>
    <t>0747</t>
  </si>
  <si>
    <t>1917</t>
  </si>
  <si>
    <t>0846</t>
  </si>
  <si>
    <t>0882</t>
  </si>
  <si>
    <t>0916</t>
  </si>
  <si>
    <t>0918</t>
  </si>
  <si>
    <t>0914</t>
  </si>
  <si>
    <t>0936</t>
  </si>
  <si>
    <t>0977</t>
  </si>
  <si>
    <t>0981</t>
  </si>
  <si>
    <t>0999</t>
  </si>
  <si>
    <t>1044</t>
  </si>
  <si>
    <t>1053</t>
  </si>
  <si>
    <t>1062</t>
  </si>
  <si>
    <t>1071</t>
  </si>
  <si>
    <t>1089</t>
  </si>
  <si>
    <t>1080</t>
  </si>
  <si>
    <t>1082</t>
  </si>
  <si>
    <t>1093</t>
  </si>
  <si>
    <t>1079</t>
  </si>
  <si>
    <t>1095</t>
  </si>
  <si>
    <t>4772</t>
  </si>
  <si>
    <t>1107</t>
  </si>
  <si>
    <t>1116</t>
  </si>
  <si>
    <t>1134</t>
  </si>
  <si>
    <t>1152</t>
  </si>
  <si>
    <t>1197</t>
  </si>
  <si>
    <t>1206</t>
  </si>
  <si>
    <t>1211</t>
  </si>
  <si>
    <t>1215</t>
  </si>
  <si>
    <t>1218</t>
  </si>
  <si>
    <t>2763</t>
  </si>
  <si>
    <t>1221</t>
  </si>
  <si>
    <t>1233</t>
  </si>
  <si>
    <t>1278</t>
  </si>
  <si>
    <t>1332</t>
  </si>
  <si>
    <t>1337</t>
  </si>
  <si>
    <t>1350</t>
  </si>
  <si>
    <t>1359</t>
  </si>
  <si>
    <t>1368</t>
  </si>
  <si>
    <t>1413</t>
  </si>
  <si>
    <t>1431</t>
  </si>
  <si>
    <t>1476</t>
  </si>
  <si>
    <t>1503</t>
  </si>
  <si>
    <t>1576</t>
  </si>
  <si>
    <t>1602</t>
  </si>
  <si>
    <t>1611</t>
  </si>
  <si>
    <t>1619</t>
  </si>
  <si>
    <t>1638</t>
  </si>
  <si>
    <t>1675</t>
  </si>
  <si>
    <t>1701</t>
  </si>
  <si>
    <t>1719</t>
  </si>
  <si>
    <t>1737</t>
  </si>
  <si>
    <t>1782</t>
  </si>
  <si>
    <t>1791</t>
  </si>
  <si>
    <t>1863</t>
  </si>
  <si>
    <t>1908</t>
  </si>
  <si>
    <t>1926</t>
  </si>
  <si>
    <t>1944</t>
  </si>
  <si>
    <t>1953</t>
  </si>
  <si>
    <t>1963</t>
  </si>
  <si>
    <t>3582</t>
  </si>
  <si>
    <t>3978</t>
  </si>
  <si>
    <t>6741</t>
  </si>
  <si>
    <t>1970</t>
  </si>
  <si>
    <t>1972</t>
  </si>
  <si>
    <t>1965</t>
  </si>
  <si>
    <t>0657</t>
  </si>
  <si>
    <t>1989</t>
  </si>
  <si>
    <t>2007</t>
  </si>
  <si>
    <t>2088</t>
  </si>
  <si>
    <t>2097</t>
  </si>
  <si>
    <t>2113</t>
  </si>
  <si>
    <t>2124</t>
  </si>
  <si>
    <t>2151</t>
  </si>
  <si>
    <t>2169</t>
  </si>
  <si>
    <t>2295</t>
  </si>
  <si>
    <t>2313</t>
  </si>
  <si>
    <t>2322</t>
  </si>
  <si>
    <t>2369</t>
  </si>
  <si>
    <t>2376</t>
  </si>
  <si>
    <t>2403</t>
  </si>
  <si>
    <t>2457</t>
  </si>
  <si>
    <t>2466</t>
  </si>
  <si>
    <t>2493</t>
  </si>
  <si>
    <t>2502</t>
  </si>
  <si>
    <t>2511</t>
  </si>
  <si>
    <t>2520</t>
  </si>
  <si>
    <t>2682</t>
  </si>
  <si>
    <t>2556</t>
  </si>
  <si>
    <t>3195</t>
  </si>
  <si>
    <t>2709</t>
  </si>
  <si>
    <t>2718</t>
  </si>
  <si>
    <t>2727</t>
  </si>
  <si>
    <t>2754</t>
  </si>
  <si>
    <t>2772</t>
  </si>
  <si>
    <t>2781</t>
  </si>
  <si>
    <t>2826</t>
  </si>
  <si>
    <t>2846</t>
  </si>
  <si>
    <t>2862</t>
  </si>
  <si>
    <t>2977</t>
  </si>
  <si>
    <t>2988</t>
  </si>
  <si>
    <t>2766</t>
  </si>
  <si>
    <t>3029</t>
  </si>
  <si>
    <t>3033</t>
  </si>
  <si>
    <t>3042</t>
  </si>
  <si>
    <t>3060</t>
  </si>
  <si>
    <t>3168</t>
  </si>
  <si>
    <t>3105</t>
  </si>
  <si>
    <t>3114</t>
  </si>
  <si>
    <t>3119</t>
  </si>
  <si>
    <t>3141</t>
  </si>
  <si>
    <t>3150</t>
  </si>
  <si>
    <t>3154</t>
  </si>
  <si>
    <t>3186</t>
  </si>
  <si>
    <t>3204</t>
  </si>
  <si>
    <t>3231</t>
  </si>
  <si>
    <t>3312</t>
  </si>
  <si>
    <t>3330</t>
  </si>
  <si>
    <t>3348</t>
  </si>
  <si>
    <t>3375</t>
  </si>
  <si>
    <t>3420</t>
  </si>
  <si>
    <t>3465</t>
  </si>
  <si>
    <t>3537</t>
  </si>
  <si>
    <t>3555</t>
  </si>
  <si>
    <t>3600</t>
  </si>
  <si>
    <t>3609</t>
  </si>
  <si>
    <t>3645</t>
  </si>
  <si>
    <t>3715</t>
  </si>
  <si>
    <t>3744</t>
  </si>
  <si>
    <t>3798</t>
  </si>
  <si>
    <t>3816</t>
  </si>
  <si>
    <t>3841</t>
  </si>
  <si>
    <t>3906</t>
  </si>
  <si>
    <t>3942</t>
  </si>
  <si>
    <t>4023</t>
  </si>
  <si>
    <t>4033</t>
  </si>
  <si>
    <t>4041</t>
  </si>
  <si>
    <t>4043</t>
  </si>
  <si>
    <t>4068</t>
  </si>
  <si>
    <t>4086</t>
  </si>
  <si>
    <t>4104</t>
  </si>
  <si>
    <t>4122</t>
  </si>
  <si>
    <t>4131</t>
  </si>
  <si>
    <t>4203</t>
  </si>
  <si>
    <t>4212</t>
  </si>
  <si>
    <t>4419</t>
  </si>
  <si>
    <t>4271</t>
  </si>
  <si>
    <t>4269</t>
  </si>
  <si>
    <t>4356</t>
  </si>
  <si>
    <t>4149</t>
  </si>
  <si>
    <t>4437</t>
  </si>
  <si>
    <t>4446</t>
  </si>
  <si>
    <t>4491</t>
  </si>
  <si>
    <t>4505</t>
  </si>
  <si>
    <t>4509</t>
  </si>
  <si>
    <t>4518</t>
  </si>
  <si>
    <t>4527</t>
  </si>
  <si>
    <t>4536</t>
  </si>
  <si>
    <t>4554</t>
  </si>
  <si>
    <t>4572</t>
  </si>
  <si>
    <t>4581</t>
  </si>
  <si>
    <t>4599</t>
  </si>
  <si>
    <t>4617</t>
  </si>
  <si>
    <t>4662</t>
  </si>
  <si>
    <t>4689</t>
  </si>
  <si>
    <t>4644</t>
  </si>
  <si>
    <t>4725</t>
  </si>
  <si>
    <t>2673</t>
  </si>
  <si>
    <t>0153</t>
  </si>
  <si>
    <t>3691</t>
  </si>
  <si>
    <t>4774</t>
  </si>
  <si>
    <t>0873</t>
  </si>
  <si>
    <t>4778</t>
  </si>
  <si>
    <t>4777</t>
  </si>
  <si>
    <t>4776</t>
  </si>
  <si>
    <t>4779</t>
  </si>
  <si>
    <t>4784</t>
  </si>
  <si>
    <t>4785</t>
  </si>
  <si>
    <t>0333</t>
  </si>
  <si>
    <t>4773</t>
  </si>
  <si>
    <t>4788</t>
  </si>
  <si>
    <t>4797</t>
  </si>
  <si>
    <t>4860</t>
  </si>
  <si>
    <t>4869</t>
  </si>
  <si>
    <t>4878</t>
  </si>
  <si>
    <t>4890</t>
  </si>
  <si>
    <t>4905</t>
  </si>
  <si>
    <t>4978</t>
  </si>
  <si>
    <t>4995</t>
  </si>
  <si>
    <t>5013</t>
  </si>
  <si>
    <t>5049</t>
  </si>
  <si>
    <t>5121</t>
  </si>
  <si>
    <t>5139</t>
  </si>
  <si>
    <t>5319</t>
  </si>
  <si>
    <t>5163</t>
  </si>
  <si>
    <t>5166</t>
  </si>
  <si>
    <t>5184</t>
  </si>
  <si>
    <t>5250</t>
  </si>
  <si>
    <t>5256</t>
  </si>
  <si>
    <t>5283</t>
  </si>
  <si>
    <t>5310</t>
  </si>
  <si>
    <t>5463</t>
  </si>
  <si>
    <t>5486</t>
  </si>
  <si>
    <t>5508</t>
  </si>
  <si>
    <t>1975</t>
  </si>
  <si>
    <t>4824</t>
  </si>
  <si>
    <t>5607</t>
  </si>
  <si>
    <t>5643</t>
  </si>
  <si>
    <t>5697</t>
  </si>
  <si>
    <t>5724</t>
  </si>
  <si>
    <t>5805</t>
  </si>
  <si>
    <t>5823</t>
  </si>
  <si>
    <t>5832</t>
  </si>
  <si>
    <t>5877</t>
  </si>
  <si>
    <t>5895</t>
  </si>
  <si>
    <t>5949</t>
  </si>
  <si>
    <t>5976</t>
  </si>
  <si>
    <t>5994</t>
  </si>
  <si>
    <t>6003</t>
  </si>
  <si>
    <t>6012</t>
  </si>
  <si>
    <t>6030</t>
  </si>
  <si>
    <t>6048</t>
  </si>
  <si>
    <t>6039</t>
  </si>
  <si>
    <t>6093</t>
  </si>
  <si>
    <t>6091</t>
  </si>
  <si>
    <t>6095</t>
  </si>
  <si>
    <t>5157</t>
  </si>
  <si>
    <t>6097</t>
  </si>
  <si>
    <t>6098</t>
  </si>
  <si>
    <t>6100</t>
  </si>
  <si>
    <t>6101</t>
  </si>
  <si>
    <t>6096</t>
  </si>
  <si>
    <t>6094</t>
  </si>
  <si>
    <t>6102</t>
  </si>
  <si>
    <t>6120</t>
  </si>
  <si>
    <t>6138</t>
  </si>
  <si>
    <t>5751</t>
  </si>
  <si>
    <t>6165</t>
  </si>
  <si>
    <t>6175</t>
  </si>
  <si>
    <t>6219</t>
  </si>
  <si>
    <t>6246</t>
  </si>
  <si>
    <t>6273</t>
  </si>
  <si>
    <t>6408</t>
  </si>
  <si>
    <t>6453</t>
  </si>
  <si>
    <t>6460</t>
  </si>
  <si>
    <t>6462</t>
  </si>
  <si>
    <t>6471</t>
  </si>
  <si>
    <t>6509</t>
  </si>
  <si>
    <t>6512</t>
  </si>
  <si>
    <t>6516</t>
  </si>
  <si>
    <t>6534</t>
  </si>
  <si>
    <t>1935</t>
  </si>
  <si>
    <t>6561</t>
  </si>
  <si>
    <t>6579</t>
  </si>
  <si>
    <t>6592</t>
  </si>
  <si>
    <t>6615</t>
  </si>
  <si>
    <t>6651</t>
  </si>
  <si>
    <t>6660</t>
  </si>
  <si>
    <t>6700</t>
  </si>
  <si>
    <t>6759</t>
  </si>
  <si>
    <t>6762</t>
  </si>
  <si>
    <t>6768</t>
  </si>
  <si>
    <t>6795</t>
  </si>
  <si>
    <t>6822</t>
  </si>
  <si>
    <t>6840</t>
  </si>
  <si>
    <t>6854</t>
  </si>
  <si>
    <t>6867</t>
  </si>
  <si>
    <t>6921</t>
  </si>
  <si>
    <t>6930</t>
  </si>
  <si>
    <t>6937</t>
  </si>
  <si>
    <t>6943</t>
  </si>
  <si>
    <t>6264</t>
  </si>
  <si>
    <t>6950</t>
  </si>
  <si>
    <t>6957</t>
  </si>
  <si>
    <t>5922</t>
  </si>
  <si>
    <t>0819</t>
  </si>
  <si>
    <t>6969</t>
  </si>
  <si>
    <t>6975</t>
  </si>
  <si>
    <t>6983</t>
  </si>
  <si>
    <t>6985</t>
  </si>
  <si>
    <t>6987</t>
  </si>
  <si>
    <t>6990</t>
  </si>
  <si>
    <t>6961</t>
  </si>
  <si>
    <t>6992</t>
  </si>
  <si>
    <t>7002</t>
  </si>
  <si>
    <t>7029</t>
  </si>
  <si>
    <t>7038</t>
  </si>
  <si>
    <t>7047</t>
  </si>
  <si>
    <t>7056</t>
  </si>
  <si>
    <t>7092</t>
  </si>
  <si>
    <t>7098</t>
  </si>
  <si>
    <t>7110</t>
  </si>
  <si>
    <t>Propery Tax Portion</t>
  </si>
  <si>
    <t>State Aid Portion
Amount Taxe From State Aid Portion Special Ed (Column D)</t>
  </si>
  <si>
    <t>Property Tax Portion Amount to take from Special Ed Property Tax Portion (Column G)</t>
  </si>
  <si>
    <t>Payment Coding Detail Check</t>
  </si>
  <si>
    <t>State Aid Portion
Amount Taken From State Aid Portion Special Ed (Column D)</t>
  </si>
  <si>
    <t>Budget Enrollment</t>
  </si>
  <si>
    <t>Teach Sal Cost PP</t>
  </si>
  <si>
    <t>Spec ED Support</t>
  </si>
  <si>
    <t>Spec Ed Adjust</t>
  </si>
  <si>
    <t>Special Ed Total Cost</t>
  </si>
  <si>
    <t>Media Services</t>
  </si>
  <si>
    <t>Education Services</t>
  </si>
  <si>
    <t>Sharing Operations</t>
  </si>
  <si>
    <t>Teacher Salary Supplement</t>
  </si>
  <si>
    <t>Subtotal Budget</t>
  </si>
  <si>
    <t>Prorata Reduction</t>
  </si>
  <si>
    <t xml:space="preserve">State Aid  </t>
  </si>
  <si>
    <t xml:space="preserve">Property Tax  </t>
  </si>
  <si>
    <t>Total Special Ed Weighting in Addition to 1.0</t>
  </si>
  <si>
    <t>AEA Weighted Enrollment</t>
  </si>
  <si>
    <t>Resident Accredited Nonpublic Students</t>
  </si>
  <si>
    <t>Shared-Time Nonpublic Pupils Counted in Line 1.1</t>
  </si>
  <si>
    <t>Total Enrollment Served - AEA Media and Ed Services</t>
  </si>
  <si>
    <t>AEA Special Ed Support Cost Per Pupil</t>
  </si>
  <si>
    <t>AEA Media Cost Per Pupil</t>
  </si>
  <si>
    <t>AEA Ed Services Cost Per Pupil</t>
  </si>
  <si>
    <t>Check Against Final AEA Mounts</t>
  </si>
  <si>
    <t>Pasted Values in From Final AEA Cost Detail Summary For Fiscal Year</t>
  </si>
  <si>
    <t>State Aid and Property Tax Amounts Distributed Correctly</t>
  </si>
  <si>
    <t>September to May Monthy Amounts Distributed Correctly</t>
  </si>
  <si>
    <t>June Amounts Distributed Correctly</t>
  </si>
  <si>
    <t>Overall Amounts total Correct  - State Aid vs. Property Tax</t>
  </si>
  <si>
    <t>These amounts ere not zero so took the amounts hear and added or took away from State Aid Portion Special Ed</t>
  </si>
  <si>
    <t>All Amounts 0 - Minimum should not get a number</t>
  </si>
  <si>
    <t>All Amounts 0 - Maximum should not get a number</t>
  </si>
  <si>
    <t>92010000</t>
  </si>
  <si>
    <t>92050000</t>
  </si>
  <si>
    <t>92070000</t>
  </si>
  <si>
    <t>92090000</t>
  </si>
  <si>
    <t>92100000</t>
  </si>
  <si>
    <t>92110000</t>
  </si>
  <si>
    <t>92120000</t>
  </si>
  <si>
    <t>92130000</t>
  </si>
  <si>
    <t>92150000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</si>
</sst>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Courier New"/>
      <family val="2"/>
    </font>
    <font>
      <sz val="8"/>
      <color theme="0"/>
      <name val="Courier New"/>
      <family val="2"/>
    </font>
    <font>
      <sz val="8"/>
      <color rgb="FF9C0006"/>
      <name val="Courier New"/>
      <family val="2"/>
    </font>
    <font>
      <b/>
      <sz val="8"/>
      <color rgb="FFFA7D00"/>
      <name val="Courier New"/>
      <family val="2"/>
    </font>
    <font>
      <b/>
      <sz val="8"/>
      <color theme="0"/>
      <name val="Courier New"/>
      <family val="2"/>
    </font>
    <font>
      <i/>
      <sz val="8"/>
      <color rgb="FF7F7F7F"/>
      <name val="Courier New"/>
      <family val="2"/>
    </font>
    <font>
      <sz val="8"/>
      <color rgb="FF006100"/>
      <name val="Courier New"/>
      <family val="2"/>
    </font>
    <font>
      <b/>
      <sz val="15"/>
      <color theme="3"/>
      <name val="Courier New"/>
      <family val="2"/>
    </font>
    <font>
      <b/>
      <sz val="13"/>
      <color theme="3"/>
      <name val="Courier New"/>
      <family val="2"/>
    </font>
    <font>
      <b/>
      <sz val="11"/>
      <color theme="3"/>
      <name val="Courier New"/>
      <family val="2"/>
    </font>
    <font>
      <sz val="8"/>
      <color rgb="FF3F3F76"/>
      <name val="Courier New"/>
      <family val="2"/>
    </font>
    <font>
      <sz val="8"/>
      <color rgb="FFFA7D00"/>
      <name val="Courier New"/>
      <family val="2"/>
    </font>
    <font>
      <sz val="8"/>
      <color rgb="FF9C6500"/>
      <name val="Courier New"/>
      <family val="2"/>
    </font>
    <font>
      <b/>
      <sz val="8"/>
      <color rgb="FF3F3F3F"/>
      <name val="Courier New"/>
      <family val="2"/>
    </font>
    <font>
      <b/>
      <sz val="8"/>
      <color theme="1"/>
      <name val="Courier New"/>
      <family val="2"/>
    </font>
    <font>
      <sz val="8"/>
      <color rgb="FFFF0000"/>
      <name val="Courier New"/>
      <family val="2"/>
    </font>
    <font>
      <sz val="11"/>
      <name val="Calibri"/>
      <family val="2"/>
    </font>
    <font>
      <b/>
      <sz val="16"/>
      <color theme="1"/>
      <name val="Calibri"/>
      <family val="2"/>
      <scheme val="minor"/>
    </font>
    <font>
      <b/>
      <sz val="14"/>
      <color theme="1"/>
      <name val="Calibri"/>
      <family val="2"/>
      <scheme val="minor"/>
    </font>
    <font>
      <b/>
      <sz val="11"/>
      <name val="Calibri"/>
      <family val="2"/>
      <scheme val="minor"/>
    </font>
    <font>
      <b/>
      <sz val="12"/>
      <color indexed="81"/>
      <name val="Tahoma"/>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8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1" applyNumberFormat="0" applyFill="0" applyAlignment="0" applyProtection="0"/>
    <xf numFmtId="0" fontId="25" fillId="2" borderId="0" applyNumberFormat="0" applyBorder="0" applyAlignment="0" applyProtection="0"/>
    <xf numFmtId="0" fontId="24" fillId="0" borderId="0" applyNumberFormat="0" applyFill="0" applyBorder="0" applyAlignment="0" applyProtection="0"/>
    <xf numFmtId="0" fontId="23" fillId="7" borderId="7" applyNumberFormat="0" applyAlignment="0" applyProtection="0"/>
    <xf numFmtId="0" fontId="22" fillId="6" borderId="4" applyNumberFormat="0" applyAlignment="0" applyProtection="0"/>
    <xf numFmtId="0" fontId="21" fillId="3" borderId="0" applyNumberFormat="0" applyBorder="0" applyAlignment="0" applyProtection="0"/>
    <xf numFmtId="0" fontId="20" fillId="29" borderId="0" applyNumberFormat="0" applyBorder="0" applyAlignment="0" applyProtection="0"/>
    <xf numFmtId="0" fontId="20" fillId="25" borderId="0" applyNumberFormat="0" applyBorder="0" applyAlignment="0" applyProtection="0"/>
    <xf numFmtId="0" fontId="20" fillId="21" borderId="0" applyNumberFormat="0" applyBorder="0" applyAlignment="0" applyProtection="0"/>
    <xf numFmtId="0" fontId="20" fillId="17" borderId="0" applyNumberFormat="0" applyBorder="0" applyAlignment="0" applyProtection="0"/>
    <xf numFmtId="0" fontId="20" fillId="13" borderId="0" applyNumberFormat="0" applyBorder="0" applyAlignment="0" applyProtection="0"/>
    <xf numFmtId="0" fontId="20" fillId="9" borderId="0" applyNumberFormat="0" applyBorder="0" applyAlignment="0" applyProtection="0"/>
    <xf numFmtId="0" fontId="20" fillId="32" borderId="0" applyNumberFormat="0" applyBorder="0" applyAlignment="0" applyProtection="0"/>
    <xf numFmtId="0" fontId="20" fillId="28" borderId="0" applyNumberFormat="0" applyBorder="0" applyAlignment="0" applyProtection="0"/>
    <xf numFmtId="0" fontId="20" fillId="24" borderId="0" applyNumberFormat="0" applyBorder="0" applyAlignment="0" applyProtection="0"/>
    <xf numFmtId="0" fontId="20" fillId="20" borderId="0" applyNumberFormat="0" applyBorder="0" applyAlignment="0" applyProtection="0"/>
    <xf numFmtId="0" fontId="20" fillId="16" borderId="0" applyNumberFormat="0" applyBorder="0" applyAlignment="0" applyProtection="0"/>
    <xf numFmtId="0" fontId="20" fillId="12" borderId="0" applyNumberFormat="0" applyBorder="0" applyAlignment="0" applyProtection="0"/>
    <xf numFmtId="0" fontId="19" fillId="31" borderId="0" applyNumberFormat="0" applyBorder="0" applyAlignment="0" applyProtection="0"/>
    <xf numFmtId="0" fontId="19" fillId="27" borderId="0" applyNumberFormat="0" applyBorder="0" applyAlignment="0" applyProtection="0"/>
    <xf numFmtId="0" fontId="19" fillId="23" borderId="0" applyNumberFormat="0" applyBorder="0" applyAlignment="0" applyProtection="0"/>
    <xf numFmtId="0" fontId="19" fillId="19" borderId="0" applyNumberFormat="0" applyBorder="0" applyAlignment="0" applyProtection="0"/>
    <xf numFmtId="0" fontId="19" fillId="15" borderId="0" applyNumberFormat="0" applyBorder="0" applyAlignment="0" applyProtection="0"/>
    <xf numFmtId="0" fontId="19" fillId="11" borderId="0" applyNumberFormat="0" applyBorder="0" applyAlignment="0" applyProtection="0"/>
    <xf numFmtId="0" fontId="19" fillId="30" borderId="0" applyNumberFormat="0" applyBorder="0" applyAlignment="0" applyProtection="0"/>
    <xf numFmtId="0" fontId="19" fillId="26" borderId="0" applyNumberFormat="0" applyBorder="0" applyAlignment="0" applyProtection="0"/>
    <xf numFmtId="0" fontId="19" fillId="22" borderId="0" applyNumberFormat="0" applyBorder="0" applyAlignment="0" applyProtection="0"/>
    <xf numFmtId="0" fontId="19" fillId="18" borderId="0" applyNumberFormat="0" applyBorder="0" applyAlignment="0" applyProtection="0"/>
    <xf numFmtId="0" fontId="19" fillId="14" borderId="0" applyNumberFormat="0" applyBorder="0" applyAlignment="0" applyProtection="0"/>
    <xf numFmtId="0" fontId="19" fillId="10" borderId="0" applyNumberFormat="0" applyBorder="0" applyAlignment="0" applyProtection="0"/>
    <xf numFmtId="0" fontId="19" fillId="0" borderId="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5" borderId="4" applyNumberFormat="0" applyAlignment="0" applyProtection="0"/>
    <xf numFmtId="0" fontId="30" fillId="0" borderId="6" applyNumberFormat="0" applyFill="0" applyAlignment="0" applyProtection="0"/>
    <xf numFmtId="0" fontId="31" fillId="4" borderId="0" applyNumberFormat="0" applyBorder="0" applyAlignment="0" applyProtection="0"/>
    <xf numFmtId="0" fontId="19" fillId="8" borderId="8" applyNumberFormat="0" applyFont="0" applyAlignment="0" applyProtection="0"/>
    <xf numFmtId="0" fontId="32" fillId="6" borderId="5" applyNumberFormat="0" applyAlignment="0" applyProtection="0"/>
    <xf numFmtId="0" fontId="33" fillId="0" borderId="9" applyNumberFormat="0" applyFill="0" applyAlignment="0" applyProtection="0"/>
    <xf numFmtId="0" fontId="34" fillId="0" borderId="0" applyNumberFormat="0" applyFill="0" applyBorder="0" applyAlignment="0" applyProtection="0"/>
    <xf numFmtId="0" fontId="35" fillId="0" borderId="0"/>
  </cellStyleXfs>
  <cellXfs count="72">
    <xf numFmtId="0" fontId="0" fillId="0" borderId="0" xfId="0"/>
    <xf numFmtId="49" fontId="0" fillId="0" borderId="0" xfId="0" applyNumberFormat="1"/>
    <xf numFmtId="0" fontId="19" fillId="0" borderId="0" xfId="72"/>
    <xf numFmtId="0" fontId="18" fillId="0" borderId="0" xfId="72" applyFont="1"/>
    <xf numFmtId="0" fontId="18" fillId="33" borderId="0" xfId="72" applyFont="1" applyFill="1"/>
    <xf numFmtId="0" fontId="18" fillId="0" borderId="0" xfId="72" applyFont="1" applyAlignment="1">
      <alignment horizontal="center"/>
    </xf>
    <xf numFmtId="3" fontId="0" fillId="0" borderId="0" xfId="0" applyNumberFormat="1"/>
    <xf numFmtId="0" fontId="16" fillId="0" borderId="11" xfId="0" applyFont="1" applyBorder="1" applyAlignment="1">
      <alignment wrapText="1"/>
    </xf>
    <xf numFmtId="0" fontId="16" fillId="0" borderId="11" xfId="0" applyFont="1" applyBorder="1" applyAlignment="1">
      <alignment horizontal="center" wrapText="1"/>
    </xf>
    <xf numFmtId="0" fontId="16" fillId="36" borderId="11" xfId="0" applyFont="1" applyFill="1" applyBorder="1" applyAlignment="1">
      <alignment horizontal="center" wrapText="1"/>
    </xf>
    <xf numFmtId="0" fontId="0" fillId="0" borderId="0" xfId="0" applyAlignment="1">
      <alignment wrapText="1"/>
    </xf>
    <xf numFmtId="0" fontId="0" fillId="0" borderId="11" xfId="0" applyBorder="1"/>
    <xf numFmtId="3" fontId="0" fillId="0" borderId="11" xfId="0" quotePrefix="1" applyNumberFormat="1" applyBorder="1"/>
    <xf numFmtId="3" fontId="0" fillId="0" borderId="13" xfId="0" applyNumberFormat="1" applyBorder="1"/>
    <xf numFmtId="3" fontId="0" fillId="35" borderId="13" xfId="0" applyNumberFormat="1" applyFill="1" applyBorder="1"/>
    <xf numFmtId="3" fontId="0" fillId="36" borderId="13" xfId="0" applyNumberFormat="1" applyFill="1" applyBorder="1"/>
    <xf numFmtId="3" fontId="16" fillId="0" borderId="13" xfId="0" applyNumberFormat="1" applyFont="1" applyBorder="1"/>
    <xf numFmtId="0" fontId="16" fillId="0" borderId="11" xfId="0" applyFont="1" applyBorder="1"/>
    <xf numFmtId="49" fontId="0" fillId="0" borderId="11" xfId="0" applyNumberFormat="1" applyBorder="1"/>
    <xf numFmtId="3" fontId="0" fillId="36" borderId="11" xfId="0" quotePrefix="1" applyNumberFormat="1" applyFill="1" applyBorder="1"/>
    <xf numFmtId="3" fontId="16" fillId="36" borderId="13" xfId="0" applyNumberFormat="1" applyFont="1" applyFill="1" applyBorder="1"/>
    <xf numFmtId="0" fontId="16" fillId="37" borderId="11" xfId="0" applyFont="1" applyFill="1" applyBorder="1" applyAlignment="1">
      <alignment horizontal="center" wrapText="1"/>
    </xf>
    <xf numFmtId="3" fontId="0" fillId="37" borderId="11" xfId="0" quotePrefix="1" applyNumberFormat="1" applyFill="1" applyBorder="1"/>
    <xf numFmtId="3" fontId="0" fillId="37" borderId="13" xfId="0" applyNumberFormat="1" applyFill="1" applyBorder="1"/>
    <xf numFmtId="3" fontId="0" fillId="0" borderId="11" xfId="0" applyNumberFormat="1" applyBorder="1" applyProtection="1">
      <protection hidden="1"/>
    </xf>
    <xf numFmtId="0" fontId="0" fillId="34" borderId="0" xfId="0" applyFill="1" applyAlignment="1">
      <alignment wrapText="1"/>
    </xf>
    <xf numFmtId="0" fontId="16" fillId="0" borderId="12" xfId="0" applyFont="1" applyBorder="1" applyAlignment="1">
      <alignment horizontal="center" wrapText="1"/>
    </xf>
    <xf numFmtId="4" fontId="0" fillId="0" borderId="0" xfId="0" applyNumberFormat="1"/>
    <xf numFmtId="3" fontId="0" fillId="0" borderId="10" xfId="0" applyNumberFormat="1" applyBorder="1"/>
    <xf numFmtId="0" fontId="0" fillId="34" borderId="0" xfId="0" applyFill="1"/>
    <xf numFmtId="0" fontId="16" fillId="0" borderId="12" xfId="0" applyFont="1" applyBorder="1"/>
    <xf numFmtId="0" fontId="0" fillId="0" borderId="0" xfId="0" applyAlignment="1">
      <alignment horizontal="center" wrapText="1"/>
    </xf>
    <xf numFmtId="0" fontId="16" fillId="0" borderId="0" xfId="0" applyFont="1" applyAlignment="1">
      <alignment horizontal="center" wrapText="1"/>
    </xf>
    <xf numFmtId="0" fontId="16" fillId="38" borderId="11" xfId="0" applyFont="1" applyFill="1" applyBorder="1" applyAlignment="1">
      <alignment horizontal="center" wrapText="1"/>
    </xf>
    <xf numFmtId="3" fontId="0" fillId="38" borderId="11" xfId="0" quotePrefix="1" applyNumberFormat="1" applyFill="1" applyBorder="1"/>
    <xf numFmtId="3" fontId="0" fillId="38" borderId="13" xfId="0" applyNumberFormat="1" applyFill="1" applyBorder="1"/>
    <xf numFmtId="3" fontId="16" fillId="38" borderId="13" xfId="0" applyNumberFormat="1" applyFont="1" applyFill="1" applyBorder="1"/>
    <xf numFmtId="3" fontId="16" fillId="37" borderId="13" xfId="0" applyNumberFormat="1" applyFont="1" applyFill="1" applyBorder="1"/>
    <xf numFmtId="164" fontId="0" fillId="0" borderId="0" xfId="0" applyNumberFormat="1" applyProtection="1">
      <protection hidden="1"/>
    </xf>
    <xf numFmtId="0" fontId="0" fillId="0" borderId="0" xfId="0" applyProtection="1">
      <protection hidden="1"/>
    </xf>
    <xf numFmtId="3" fontId="38" fillId="0" borderId="11" xfId="0" applyNumberFormat="1" applyFont="1" applyBorder="1" applyAlignment="1" applyProtection="1">
      <alignment horizontal="center" vertical="center" wrapText="1"/>
      <protection hidden="1"/>
    </xf>
    <xf numFmtId="164" fontId="0" fillId="34" borderId="0" xfId="0" applyNumberFormat="1" applyFill="1" applyProtection="1">
      <protection hidden="1"/>
    </xf>
    <xf numFmtId="0" fontId="0" fillId="34" borderId="0" xfId="0" applyFill="1" applyProtection="1">
      <protection hidden="1"/>
    </xf>
    <xf numFmtId="3" fontId="38" fillId="34" borderId="0" xfId="0" applyNumberFormat="1" applyFont="1" applyFill="1" applyAlignment="1" applyProtection="1">
      <alignment horizontal="center" vertical="center"/>
      <protection hidden="1"/>
    </xf>
    <xf numFmtId="49" fontId="0" fillId="0" borderId="11" xfId="0" applyNumberFormat="1" applyBorder="1" applyProtection="1">
      <protection hidden="1"/>
    </xf>
    <xf numFmtId="0" fontId="0" fillId="0" borderId="11" xfId="0" applyBorder="1" applyProtection="1">
      <protection hidden="1"/>
    </xf>
    <xf numFmtId="3" fontId="16" fillId="35" borderId="13" xfId="0" applyNumberFormat="1" applyFont="1" applyFill="1" applyBorder="1"/>
    <xf numFmtId="3" fontId="16" fillId="0" borderId="11" xfId="0" quotePrefix="1" applyNumberFormat="1" applyFont="1" applyBorder="1"/>
    <xf numFmtId="3" fontId="16" fillId="37" borderId="11" xfId="0" quotePrefix="1" applyNumberFormat="1" applyFont="1" applyFill="1" applyBorder="1"/>
    <xf numFmtId="3" fontId="16" fillId="0" borderId="11" xfId="0" applyNumberFormat="1" applyFont="1" applyBorder="1" applyProtection="1">
      <protection hidden="1"/>
    </xf>
    <xf numFmtId="3" fontId="16" fillId="36" borderId="11" xfId="0" quotePrefix="1" applyNumberFormat="1" applyFont="1" applyFill="1" applyBorder="1"/>
    <xf numFmtId="3" fontId="16" fillId="0" borderId="13" xfId="0" applyNumberFormat="1" applyFont="1" applyBorder="1" applyProtection="1">
      <protection hidden="1"/>
    </xf>
    <xf numFmtId="3" fontId="16" fillId="0" borderId="10" xfId="0" applyNumberFormat="1" applyFont="1" applyBorder="1"/>
    <xf numFmtId="3" fontId="16" fillId="37" borderId="14" xfId="0" quotePrefix="1" applyNumberFormat="1" applyFont="1" applyFill="1" applyBorder="1"/>
    <xf numFmtId="3" fontId="16" fillId="36" borderId="15" xfId="0" quotePrefix="1" applyNumberFormat="1" applyFont="1" applyFill="1" applyBorder="1"/>
    <xf numFmtId="3" fontId="16" fillId="36" borderId="10" xfId="0" quotePrefix="1" applyNumberFormat="1" applyFont="1" applyFill="1" applyBorder="1"/>
    <xf numFmtId="3" fontId="16" fillId="37" borderId="15" xfId="0" quotePrefix="1" applyNumberFormat="1" applyFont="1" applyFill="1" applyBorder="1"/>
    <xf numFmtId="3" fontId="16" fillId="37" borderId="10" xfId="0" quotePrefix="1" applyNumberFormat="1" applyFont="1" applyFill="1" applyBorder="1"/>
    <xf numFmtId="0" fontId="37" fillId="33" borderId="0" xfId="72" applyFont="1" applyFill="1" applyAlignment="1" applyProtection="1">
      <alignment horizontal="center" vertical="center"/>
      <protection locked="0"/>
    </xf>
    <xf numFmtId="0" fontId="0" fillId="33" borderId="0" xfId="0" applyFill="1"/>
    <xf numFmtId="3" fontId="0" fillId="0" borderId="0" xfId="0" quotePrefix="1" applyNumberFormat="1"/>
    <xf numFmtId="3" fontId="16" fillId="0" borderId="0" xfId="0" applyNumberFormat="1" applyFont="1"/>
    <xf numFmtId="0" fontId="38"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6" fillId="0" borderId="12" xfId="0" applyFont="1" applyBorder="1" applyAlignment="1">
      <alignment horizontal="center" vertical="center"/>
    </xf>
    <xf numFmtId="0" fontId="16" fillId="37" borderId="11" xfId="0" applyFont="1" applyFill="1" applyBorder="1" applyAlignment="1">
      <alignment horizontal="center" vertical="center"/>
    </xf>
    <xf numFmtId="0" fontId="16" fillId="36" borderId="11" xfId="0" applyFont="1" applyFill="1" applyBorder="1" applyAlignment="1">
      <alignment horizontal="center" vertical="center"/>
    </xf>
    <xf numFmtId="0" fontId="16" fillId="37" borderId="0" xfId="0" applyFont="1" applyFill="1" applyAlignment="1">
      <alignment horizontal="center" wrapText="1"/>
    </xf>
    <xf numFmtId="0" fontId="16" fillId="37" borderId="12" xfId="0" applyFont="1" applyFill="1" applyBorder="1" applyAlignment="1">
      <alignment horizontal="center" wrapText="1"/>
    </xf>
    <xf numFmtId="0" fontId="16" fillId="36" borderId="0" xfId="0" applyFont="1" applyFill="1" applyAlignment="1">
      <alignment horizontal="center" wrapText="1"/>
    </xf>
    <xf numFmtId="0" fontId="16" fillId="36" borderId="12" xfId="0" applyFont="1" applyFill="1" applyBorder="1" applyAlignment="1">
      <alignment horizontal="center" wrapText="1"/>
    </xf>
    <xf numFmtId="0" fontId="37" fillId="0" borderId="0" xfId="0" applyFont="1" applyAlignment="1">
      <alignment horizontal="center" vertical="center"/>
    </xf>
  </cellXfs>
  <cellStyles count="84">
    <cellStyle name="20% - Accent1" xfId="19" builtinId="30" customBuiltin="1"/>
    <cellStyle name="20% - Accent1 2" xfId="71" xr:uid="{00000000-0005-0000-0000-000001000000}"/>
    <cellStyle name="20% - Accent2" xfId="23" builtinId="34" customBuiltin="1"/>
    <cellStyle name="20% - Accent2 2" xfId="70" xr:uid="{00000000-0005-0000-0000-000003000000}"/>
    <cellStyle name="20% - Accent3" xfId="27" builtinId="38" customBuiltin="1"/>
    <cellStyle name="20% - Accent3 2" xfId="69" xr:uid="{00000000-0005-0000-0000-000005000000}"/>
    <cellStyle name="20% - Accent4" xfId="31" builtinId="42" customBuiltin="1"/>
    <cellStyle name="20% - Accent4 2" xfId="68" xr:uid="{00000000-0005-0000-0000-000007000000}"/>
    <cellStyle name="20% - Accent5" xfId="35" builtinId="46" customBuiltin="1"/>
    <cellStyle name="20% - Accent5 2" xfId="67" xr:uid="{00000000-0005-0000-0000-000009000000}"/>
    <cellStyle name="20% - Accent6" xfId="39" builtinId="50" customBuiltin="1"/>
    <cellStyle name="20% - Accent6 2" xfId="66" xr:uid="{00000000-0005-0000-0000-00000B000000}"/>
    <cellStyle name="40% - Accent1" xfId="20" builtinId="31" customBuiltin="1"/>
    <cellStyle name="40% - Accent1 2" xfId="65" xr:uid="{00000000-0005-0000-0000-00000D000000}"/>
    <cellStyle name="40% - Accent2" xfId="24" builtinId="35" customBuiltin="1"/>
    <cellStyle name="40% - Accent2 2" xfId="64" xr:uid="{00000000-0005-0000-0000-00000F000000}"/>
    <cellStyle name="40% - Accent3" xfId="28" builtinId="39" customBuiltin="1"/>
    <cellStyle name="40% - Accent3 2" xfId="63" xr:uid="{00000000-0005-0000-0000-000011000000}"/>
    <cellStyle name="40% - Accent4" xfId="32" builtinId="43" customBuiltin="1"/>
    <cellStyle name="40% - Accent4 2" xfId="62" xr:uid="{00000000-0005-0000-0000-000013000000}"/>
    <cellStyle name="40% - Accent5" xfId="36" builtinId="47" customBuiltin="1"/>
    <cellStyle name="40% - Accent5 2" xfId="61" xr:uid="{00000000-0005-0000-0000-000015000000}"/>
    <cellStyle name="40% - Accent6" xfId="40" builtinId="51" customBuiltin="1"/>
    <cellStyle name="40% - Accent6 2" xfId="60" xr:uid="{00000000-0005-0000-0000-000017000000}"/>
    <cellStyle name="60% - Accent1" xfId="21" builtinId="32" customBuiltin="1"/>
    <cellStyle name="60% - Accent1 2" xfId="59" xr:uid="{00000000-0005-0000-0000-000019000000}"/>
    <cellStyle name="60% - Accent2" xfId="25" builtinId="36" customBuiltin="1"/>
    <cellStyle name="60% - Accent2 2" xfId="58" xr:uid="{00000000-0005-0000-0000-00001B000000}"/>
    <cellStyle name="60% - Accent3" xfId="29" builtinId="40" customBuiltin="1"/>
    <cellStyle name="60% - Accent3 2" xfId="57" xr:uid="{00000000-0005-0000-0000-00001D000000}"/>
    <cellStyle name="60% - Accent4" xfId="33" builtinId="44" customBuiltin="1"/>
    <cellStyle name="60% - Accent4 2" xfId="56" xr:uid="{00000000-0005-0000-0000-00001F000000}"/>
    <cellStyle name="60% - Accent5" xfId="37" builtinId="48" customBuiltin="1"/>
    <cellStyle name="60% - Accent5 2" xfId="55" xr:uid="{00000000-0005-0000-0000-000021000000}"/>
    <cellStyle name="60% - Accent6" xfId="41" builtinId="52" customBuiltin="1"/>
    <cellStyle name="60% - Accent6 2" xfId="54" xr:uid="{00000000-0005-0000-0000-000023000000}"/>
    <cellStyle name="Accent1" xfId="18" builtinId="29" customBuiltin="1"/>
    <cellStyle name="Accent1 2" xfId="53" xr:uid="{00000000-0005-0000-0000-000025000000}"/>
    <cellStyle name="Accent2" xfId="22" builtinId="33" customBuiltin="1"/>
    <cellStyle name="Accent2 2" xfId="52" xr:uid="{00000000-0005-0000-0000-000027000000}"/>
    <cellStyle name="Accent3" xfId="26" builtinId="37" customBuiltin="1"/>
    <cellStyle name="Accent3 2" xfId="51" xr:uid="{00000000-0005-0000-0000-000029000000}"/>
    <cellStyle name="Accent4" xfId="30" builtinId="41" customBuiltin="1"/>
    <cellStyle name="Accent4 2" xfId="50" xr:uid="{00000000-0005-0000-0000-00002B000000}"/>
    <cellStyle name="Accent5" xfId="34" builtinId="45" customBuiltin="1"/>
    <cellStyle name="Accent5 2" xfId="49" xr:uid="{00000000-0005-0000-0000-00002D000000}"/>
    <cellStyle name="Accent6" xfId="38" builtinId="49" customBuiltin="1"/>
    <cellStyle name="Accent6 2" xfId="48" xr:uid="{00000000-0005-0000-0000-00002F000000}"/>
    <cellStyle name="Bad" xfId="7" builtinId="27" customBuiltin="1"/>
    <cellStyle name="Bad 2" xfId="47" xr:uid="{00000000-0005-0000-0000-000031000000}"/>
    <cellStyle name="Calculation" xfId="11" builtinId="22" customBuiltin="1"/>
    <cellStyle name="Calculation 2" xfId="46" xr:uid="{00000000-0005-0000-0000-000033000000}"/>
    <cellStyle name="Check Cell" xfId="13" builtinId="23" customBuiltin="1"/>
    <cellStyle name="Check Cell 2" xfId="45" xr:uid="{00000000-0005-0000-0000-000035000000}"/>
    <cellStyle name="Explanatory Text" xfId="16" builtinId="53" customBuiltin="1"/>
    <cellStyle name="Explanatory Text 2" xfId="44" xr:uid="{00000000-0005-0000-0000-000037000000}"/>
    <cellStyle name="Good" xfId="6" builtinId="26" customBuiltin="1"/>
    <cellStyle name="Good 2" xfId="43" xr:uid="{00000000-0005-0000-0000-000039000000}"/>
    <cellStyle name="Heading 1" xfId="2" builtinId="16" customBuiltin="1"/>
    <cellStyle name="Heading 1 2" xfId="42" xr:uid="{00000000-0005-0000-0000-00003B000000}"/>
    <cellStyle name="Heading 2" xfId="3" builtinId="17" customBuiltin="1"/>
    <cellStyle name="Heading 2 2" xfId="73" xr:uid="{00000000-0005-0000-0000-00003D000000}"/>
    <cellStyle name="Heading 3" xfId="4" builtinId="18" customBuiltin="1"/>
    <cellStyle name="Heading 3 2" xfId="74" xr:uid="{00000000-0005-0000-0000-00003F000000}"/>
    <cellStyle name="Heading 4" xfId="5" builtinId="19" customBuiltin="1"/>
    <cellStyle name="Heading 4 2" xfId="75" xr:uid="{00000000-0005-0000-0000-000041000000}"/>
    <cellStyle name="Input" xfId="9" builtinId="20" customBuiltin="1"/>
    <cellStyle name="Input 2" xfId="76" xr:uid="{00000000-0005-0000-0000-000043000000}"/>
    <cellStyle name="Linked Cell" xfId="12" builtinId="24" customBuiltin="1"/>
    <cellStyle name="Linked Cell 2" xfId="77" xr:uid="{00000000-0005-0000-0000-000045000000}"/>
    <cellStyle name="Neutral" xfId="8" builtinId="28" customBuiltin="1"/>
    <cellStyle name="Neutral 2" xfId="78" xr:uid="{00000000-0005-0000-0000-000047000000}"/>
    <cellStyle name="Normal" xfId="0" builtinId="0"/>
    <cellStyle name="Normal 2" xfId="72" xr:uid="{00000000-0005-0000-0000-000049000000}"/>
    <cellStyle name="Normal 3" xfId="83" xr:uid="{00000000-0005-0000-0000-00004A000000}"/>
    <cellStyle name="Note" xfId="15" builtinId="10" customBuiltin="1"/>
    <cellStyle name="Note 2" xfId="79" xr:uid="{00000000-0005-0000-0000-00004C000000}"/>
    <cellStyle name="Output" xfId="10" builtinId="21" customBuiltin="1"/>
    <cellStyle name="Output 2" xfId="80" xr:uid="{00000000-0005-0000-0000-00004E000000}"/>
    <cellStyle name="Title" xfId="1" builtinId="15" customBuiltin="1"/>
    <cellStyle name="Total" xfId="17" builtinId="25" customBuiltin="1"/>
    <cellStyle name="Total 2" xfId="81" xr:uid="{00000000-0005-0000-0000-000051000000}"/>
    <cellStyle name="Warning Text" xfId="14" builtinId="11" customBuiltin="1"/>
    <cellStyle name="Warning Text 2" xfId="82" xr:uid="{00000000-0005-0000-0000-000053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1:O10" totalsRowShown="0">
  <autoFilter ref="A1:O10" xr:uid="{00000000-0009-0000-0100-000001000000}"/>
  <tableColumns count="15">
    <tableColumn id="1" xr3:uid="{00000000-0010-0000-0000-000001000000}" name="AEA" dataDxfId="16"/>
    <tableColumn id="2" xr3:uid="{00000000-0010-0000-0000-000002000000}" name="AEA Name" dataDxfId="15"/>
    <tableColumn id="3" xr3:uid="{00000000-0010-0000-0000-000003000000}" name="Original Budget"/>
    <tableColumn id="4" xr3:uid="{00000000-0010-0000-0000-000004000000}" name="Pay1 - Sept - May"/>
    <tableColumn id="5" xr3:uid="{00000000-0010-0000-0000-000005000000}" name="Pay 2 Final"/>
    <tableColumn id="6" xr3:uid="{00000000-0010-0000-0000-000006000000}" name="Paid Thru September"/>
    <tableColumn id="7" xr3:uid="{00000000-0010-0000-0000-000007000000}" name="Paid Thru October"/>
    <tableColumn id="8" xr3:uid="{00000000-0010-0000-0000-000008000000}" name="Paid Thru November"/>
    <tableColumn id="9" xr3:uid="{00000000-0010-0000-0000-000009000000}" name="Paid Thru December"/>
    <tableColumn id="10" xr3:uid="{00000000-0010-0000-0000-00000A000000}" name="Paid Thru January"/>
    <tableColumn id="11" xr3:uid="{00000000-0010-0000-0000-00000B000000}" name="Paid Thru February"/>
    <tableColumn id="12" xr3:uid="{00000000-0010-0000-0000-00000C000000}" name="Paid Thru March"/>
    <tableColumn id="13" xr3:uid="{00000000-0010-0000-0000-00000D000000}" name="Paid Thru April"/>
    <tableColumn id="14" xr3:uid="{00000000-0010-0000-0000-00000E000000}" name="Paid Thru May"/>
    <tableColumn id="15" xr3:uid="{00000000-0010-0000-0000-00000F000000}" name="Paid Thru Jun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EED172-E6B1-4303-8BF2-6601E1234DF9}" name="Data_Detail" displayName="Data_Detail" ref="A1:V326" totalsRowShown="0">
  <autoFilter ref="A1:V326" xr:uid="{3C3FDE83-A6FF-4572-A912-BCC62B455E46}"/>
  <tableColumns count="22">
    <tableColumn id="1" xr3:uid="{F975D51C-9753-4082-8925-497BE138D0B6}" name="FiscalYear"/>
    <tableColumn id="2" xr3:uid="{D8937C49-7FC3-40B3-B2E0-64112C506BCC}" name="AEA" dataDxfId="14"/>
    <tableColumn id="3" xr3:uid="{CE2A5982-68D2-4710-9FCF-65CEFEE0E348}" name="AEA Name"/>
    <tableColumn id="4" xr3:uid="{883D72B2-5641-454E-93A0-7176D738D69D}" name="Dist" dataDxfId="13"/>
    <tableColumn id="5" xr3:uid="{C1217724-6AC3-49D1-B786-999A7BCD83CF}" name="District"/>
    <tableColumn id="6" xr3:uid="{44308A31-B6D3-4B83-A090-2007026A0EDA}" name="AEA Special Ed Support District Cost Formula Generated" dataDxfId="12"/>
    <tableColumn id="7" xr3:uid="{35A38103-1D4A-4475-A8AA-76D1D8AAA9CD}" name="State Aid Portion Special Ed" dataDxfId="11"/>
    <tableColumn id="8" xr3:uid="{249CB287-60D4-4A99-8C98-7556D774A772}" name="AEA Statewide State Aid Reduction" dataDxfId="10"/>
    <tableColumn id="9" xr3:uid="{770A9055-D9AA-4B04-B62C-0A36F8F6963D}" name="State Aid Special Ed Minus Reduction" dataDxfId="9"/>
    <tableColumn id="10" xr3:uid="{62ED7B7F-3B99-4C7A-B017-6D98D6AD6C47}" name="Special Education Property Tax Portion" dataDxfId="8"/>
    <tableColumn id="11" xr3:uid="{2F16D3BF-ED45-49C9-A598-AE6645F77453}" name="AEA Special Ed Support Adjustment"/>
    <tableColumn id="12" xr3:uid="{1C4B16D3-D848-4B4B-8EF1-29D1A696B8EA}" name="Total Special Ed Funding Removing Reduction Including Adjustment" dataDxfId="7"/>
    <tableColumn id="13" xr3:uid="{7DEF2C70-3813-4F0F-9EF2-4AA40367D1DF}" name="State Aid Portion Sharing Operations"/>
    <tableColumn id="14" xr3:uid="{DB2531C3-A24D-4F35-A759-467EE9C3DA98}" name="Sharing Operations Property Tax"/>
    <tableColumn id="15" xr3:uid="{1CAE3D14-1B89-496B-984D-DB6054464D1B}" name="Total AEA Sharing Operations"/>
    <tableColumn id="16" xr3:uid="{28C8C1AE-9995-43C4-AC05-09100739D3B6}" name="AEA Teacher Salary Supplement District Cost" dataDxfId="6"/>
    <tableColumn id="17" xr3:uid="{54D40613-B14B-4501-86DF-F803003CB593}" name="AEA Professional Development Supplement District Cost" dataDxfId="5"/>
    <tableColumn id="18" xr3:uid="{7ACEE2A9-C6EE-46C2-8305-A49DEE62186B}" name="AEA Media Services District Cost" dataDxfId="4"/>
    <tableColumn id="19" xr3:uid="{069FCDF4-FF7F-4504-BEB7-5136755C6F1C}" name="AEA Ed Services District Cost" dataDxfId="3"/>
    <tableColumn id="20" xr3:uid="{1503B391-69C8-49DE-A219-5A5E810E028C}" name="Total Budget" dataDxfId="2"/>
    <tableColumn id="21" xr3:uid="{AA37ACFF-D191-4C9C-93C6-3D08D3A21E1E}" name="State Aid Portion" dataDxfId="1"/>
    <tableColumn id="22" xr3:uid="{FE63F165-F777-4640-BDBE-224C9A5C8BE9}" name="Property Tax Portion"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10"/>
  <sheetViews>
    <sheetView workbookViewId="0">
      <selection activeCell="O2" sqref="O2:O10"/>
    </sheetView>
  </sheetViews>
  <sheetFormatPr defaultRowHeight="15" x14ac:dyDescent="0.25"/>
  <cols>
    <col min="1" max="1" width="9.140625" style="1"/>
    <col min="2" max="2" width="9.42578125" style="1" customWidth="1"/>
    <col min="3" max="3" width="16.85546875" customWidth="1"/>
    <col min="4" max="4" width="18.28515625" customWidth="1"/>
    <col min="5" max="5" width="12.42578125" customWidth="1"/>
    <col min="6" max="6" width="21.7109375" customWidth="1"/>
    <col min="7" max="7" width="19" customWidth="1"/>
    <col min="8" max="8" width="21.28515625" customWidth="1"/>
    <col min="9" max="9" width="21" customWidth="1"/>
    <col min="10" max="10" width="18.5703125" customWidth="1"/>
    <col min="11" max="11" width="19.7109375" customWidth="1"/>
    <col min="12" max="12" width="17.42578125" customWidth="1"/>
    <col min="13" max="13" width="16.140625" customWidth="1"/>
    <col min="14" max="14" width="15.7109375" customWidth="1"/>
    <col min="15" max="15" width="16" customWidth="1"/>
  </cols>
  <sheetData>
    <row r="1" spans="1:15" x14ac:dyDescent="0.25">
      <c r="A1" s="1" t="s">
        <v>47</v>
      </c>
      <c r="B1" s="1" t="s">
        <v>48</v>
      </c>
      <c r="C1" t="s">
        <v>0</v>
      </c>
      <c r="D1" t="s">
        <v>1</v>
      </c>
      <c r="E1" t="s">
        <v>2</v>
      </c>
      <c r="F1" t="s">
        <v>3</v>
      </c>
      <c r="G1" t="s">
        <v>4</v>
      </c>
      <c r="H1" t="s">
        <v>5</v>
      </c>
      <c r="I1" t="s">
        <v>6</v>
      </c>
      <c r="J1" t="s">
        <v>7</v>
      </c>
      <c r="K1" t="s">
        <v>8</v>
      </c>
      <c r="L1" t="s">
        <v>9</v>
      </c>
      <c r="M1" t="s">
        <v>10</v>
      </c>
      <c r="N1" t="s">
        <v>11</v>
      </c>
      <c r="O1" t="s">
        <v>12</v>
      </c>
    </row>
    <row r="2" spans="1:15" x14ac:dyDescent="0.25">
      <c r="A2" s="1" t="s">
        <v>13</v>
      </c>
      <c r="B2" s="1" t="s">
        <v>49</v>
      </c>
      <c r="C2">
        <v>12472698</v>
      </c>
      <c r="D2">
        <v>1247271</v>
      </c>
      <c r="E2">
        <v>1247259</v>
      </c>
      <c r="F2">
        <v>1247271</v>
      </c>
      <c r="G2">
        <v>2494542</v>
      </c>
      <c r="H2">
        <v>3741813</v>
      </c>
      <c r="I2">
        <v>4989084</v>
      </c>
      <c r="J2">
        <v>6236355</v>
      </c>
      <c r="K2">
        <v>7483626</v>
      </c>
      <c r="L2">
        <v>8730897</v>
      </c>
      <c r="M2">
        <v>9978168</v>
      </c>
      <c r="N2">
        <v>11225439</v>
      </c>
      <c r="O2">
        <v>12472698</v>
      </c>
    </row>
    <row r="3" spans="1:15" x14ac:dyDescent="0.25">
      <c r="A3" s="1" t="s">
        <v>14</v>
      </c>
      <c r="B3" s="1" t="s">
        <v>50</v>
      </c>
      <c r="C3">
        <v>13007855</v>
      </c>
      <c r="D3">
        <v>1300785</v>
      </c>
      <c r="E3">
        <v>1300790</v>
      </c>
      <c r="F3">
        <v>1300785</v>
      </c>
      <c r="G3">
        <v>2601570</v>
      </c>
      <c r="H3">
        <v>3902355</v>
      </c>
      <c r="I3">
        <v>5203140</v>
      </c>
      <c r="J3">
        <v>6503925</v>
      </c>
      <c r="K3">
        <v>7804710</v>
      </c>
      <c r="L3">
        <v>9105495</v>
      </c>
      <c r="M3">
        <v>10406280</v>
      </c>
      <c r="N3">
        <v>11707065</v>
      </c>
      <c r="O3">
        <v>13007855</v>
      </c>
    </row>
    <row r="4" spans="1:15" x14ac:dyDescent="0.25">
      <c r="A4" s="1" t="s">
        <v>15</v>
      </c>
      <c r="B4" s="1" t="s">
        <v>51</v>
      </c>
      <c r="C4">
        <v>26773961</v>
      </c>
      <c r="D4">
        <v>2677398</v>
      </c>
      <c r="E4">
        <v>2677379</v>
      </c>
      <c r="F4">
        <v>2677398</v>
      </c>
      <c r="G4">
        <v>5354796</v>
      </c>
      <c r="H4">
        <v>8032194</v>
      </c>
      <c r="I4">
        <v>10709592</v>
      </c>
      <c r="J4">
        <v>13386990</v>
      </c>
      <c r="K4">
        <v>16064388</v>
      </c>
      <c r="L4">
        <v>18741786</v>
      </c>
      <c r="M4">
        <v>21419184</v>
      </c>
      <c r="N4">
        <v>24096582</v>
      </c>
      <c r="O4">
        <v>26773961</v>
      </c>
    </row>
    <row r="5" spans="1:15" x14ac:dyDescent="0.25">
      <c r="A5" s="1" t="s">
        <v>16</v>
      </c>
      <c r="B5" s="1" t="s">
        <v>52</v>
      </c>
      <c r="C5">
        <v>18790619</v>
      </c>
      <c r="D5">
        <v>1879064</v>
      </c>
      <c r="E5">
        <v>1879043</v>
      </c>
      <c r="F5">
        <v>1879064</v>
      </c>
      <c r="G5">
        <v>3758128</v>
      </c>
      <c r="H5">
        <v>5637192</v>
      </c>
      <c r="I5">
        <v>7516256</v>
      </c>
      <c r="J5">
        <v>9395320</v>
      </c>
      <c r="K5">
        <v>11274384</v>
      </c>
      <c r="L5">
        <v>13153448</v>
      </c>
      <c r="M5">
        <v>15032512</v>
      </c>
      <c r="N5">
        <v>16911576</v>
      </c>
      <c r="O5">
        <v>18790619</v>
      </c>
    </row>
    <row r="6" spans="1:15" x14ac:dyDescent="0.25">
      <c r="A6" s="1" t="s">
        <v>17</v>
      </c>
      <c r="B6" s="1" t="s">
        <v>53</v>
      </c>
      <c r="C6">
        <v>28527804</v>
      </c>
      <c r="D6">
        <v>2852780</v>
      </c>
      <c r="E6">
        <v>2852784</v>
      </c>
      <c r="F6">
        <v>2852780</v>
      </c>
      <c r="G6">
        <v>5705560</v>
      </c>
      <c r="H6">
        <v>8558340</v>
      </c>
      <c r="I6">
        <v>11411120</v>
      </c>
      <c r="J6">
        <v>14263900</v>
      </c>
      <c r="K6">
        <v>17116680</v>
      </c>
      <c r="L6">
        <v>19969460</v>
      </c>
      <c r="M6">
        <v>22822240</v>
      </c>
      <c r="N6">
        <v>25675020</v>
      </c>
      <c r="O6">
        <v>28527804</v>
      </c>
    </row>
    <row r="7" spans="1:15" x14ac:dyDescent="0.25">
      <c r="A7" s="1" t="s">
        <v>18</v>
      </c>
      <c r="B7" s="1" t="s">
        <v>54</v>
      </c>
      <c r="C7">
        <v>57304196</v>
      </c>
      <c r="D7">
        <v>5730422</v>
      </c>
      <c r="E7">
        <v>5730398</v>
      </c>
      <c r="F7">
        <v>5730422</v>
      </c>
      <c r="G7">
        <v>11460844</v>
      </c>
      <c r="H7">
        <v>17191266</v>
      </c>
      <c r="I7">
        <v>22921688</v>
      </c>
      <c r="J7">
        <v>28652110</v>
      </c>
      <c r="K7">
        <v>34382532</v>
      </c>
      <c r="L7">
        <v>40112954</v>
      </c>
      <c r="M7">
        <v>45843376</v>
      </c>
      <c r="N7">
        <v>51573798</v>
      </c>
      <c r="O7">
        <v>57304196</v>
      </c>
    </row>
    <row r="8" spans="1:15" x14ac:dyDescent="0.25">
      <c r="A8" s="1" t="s">
        <v>19</v>
      </c>
      <c r="B8" s="1" t="s">
        <v>55</v>
      </c>
      <c r="C8">
        <v>17251166</v>
      </c>
      <c r="D8">
        <v>1725114</v>
      </c>
      <c r="E8">
        <v>1725140</v>
      </c>
      <c r="F8">
        <v>1725114</v>
      </c>
      <c r="G8">
        <v>3450228</v>
      </c>
      <c r="H8">
        <v>5175342</v>
      </c>
      <c r="I8">
        <v>6900456</v>
      </c>
      <c r="J8">
        <v>8625570</v>
      </c>
      <c r="K8">
        <v>10350684</v>
      </c>
      <c r="L8">
        <v>12075798</v>
      </c>
      <c r="M8">
        <v>13800912</v>
      </c>
      <c r="N8">
        <v>15526026</v>
      </c>
      <c r="O8">
        <v>17251166</v>
      </c>
    </row>
    <row r="9" spans="1:15" x14ac:dyDescent="0.25">
      <c r="A9" s="1" t="s">
        <v>20</v>
      </c>
      <c r="B9" s="1" t="s">
        <v>56</v>
      </c>
      <c r="C9">
        <v>15739037</v>
      </c>
      <c r="D9">
        <v>1573907</v>
      </c>
      <c r="E9">
        <v>1573874</v>
      </c>
      <c r="F9">
        <v>1573907</v>
      </c>
      <c r="G9">
        <v>3147814</v>
      </c>
      <c r="H9">
        <v>4721721</v>
      </c>
      <c r="I9">
        <v>6295628</v>
      </c>
      <c r="J9">
        <v>7869535</v>
      </c>
      <c r="K9">
        <v>9443442</v>
      </c>
      <c r="L9">
        <v>11017349</v>
      </c>
      <c r="M9">
        <v>12591256</v>
      </c>
      <c r="N9">
        <v>14165163</v>
      </c>
      <c r="O9">
        <v>15739037</v>
      </c>
    </row>
    <row r="10" spans="1:15" x14ac:dyDescent="0.25">
      <c r="A10" s="1" t="s">
        <v>21</v>
      </c>
      <c r="B10" s="1" t="s">
        <v>57</v>
      </c>
      <c r="C10">
        <v>14033701</v>
      </c>
      <c r="D10">
        <v>1403371</v>
      </c>
      <c r="E10">
        <v>1403362</v>
      </c>
      <c r="F10">
        <v>1403371</v>
      </c>
      <c r="G10">
        <v>2806742</v>
      </c>
      <c r="H10">
        <v>4210113</v>
      </c>
      <c r="I10">
        <v>5613484</v>
      </c>
      <c r="J10">
        <v>7016855</v>
      </c>
      <c r="K10">
        <v>8420226</v>
      </c>
      <c r="L10">
        <v>9823597</v>
      </c>
      <c r="M10">
        <v>11226968</v>
      </c>
      <c r="N10">
        <v>12630339</v>
      </c>
      <c r="O10">
        <v>14033701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26"/>
  <sheetViews>
    <sheetView workbookViewId="0">
      <selection activeCell="A30" sqref="A30"/>
    </sheetView>
  </sheetViews>
  <sheetFormatPr defaultRowHeight="15" x14ac:dyDescent="0.25"/>
  <cols>
    <col min="1" max="1" width="54.42578125" customWidth="1"/>
    <col min="2" max="2" width="32.140625" bestFit="1" customWidth="1"/>
    <col min="3" max="3" width="11.140625" bestFit="1" customWidth="1"/>
    <col min="9" max="9" width="23.140625" bestFit="1" customWidth="1"/>
    <col min="10" max="10" width="5.140625" bestFit="1" customWidth="1"/>
  </cols>
  <sheetData>
    <row r="1" spans="1:11" x14ac:dyDescent="0.25">
      <c r="A1" s="3" t="s">
        <v>22</v>
      </c>
      <c r="B1" s="4">
        <v>2025</v>
      </c>
      <c r="C1" s="2"/>
      <c r="D1" s="2"/>
      <c r="E1" s="2"/>
      <c r="F1" s="2"/>
      <c r="G1" s="5"/>
      <c r="H1" s="5"/>
      <c r="I1" s="3" t="s">
        <v>23</v>
      </c>
      <c r="J1" s="2"/>
      <c r="K1" t="s">
        <v>46</v>
      </c>
    </row>
    <row r="2" spans="1:11" x14ac:dyDescent="0.25">
      <c r="A2" s="3"/>
      <c r="C2" s="2"/>
      <c r="D2" s="2"/>
      <c r="E2" s="2"/>
      <c r="F2" s="2"/>
      <c r="G2" s="2"/>
      <c r="H2" s="2"/>
      <c r="I2" s="3" t="s">
        <v>24</v>
      </c>
      <c r="J2" s="3" t="s">
        <v>25</v>
      </c>
      <c r="K2">
        <v>1</v>
      </c>
    </row>
    <row r="3" spans="1:11" x14ac:dyDescent="0.25">
      <c r="A3" s="3"/>
      <c r="B3" s="3"/>
      <c r="C3" s="2"/>
      <c r="D3" s="2"/>
      <c r="E3" s="2"/>
      <c r="F3" s="2"/>
      <c r="G3" s="2"/>
      <c r="H3" s="2"/>
      <c r="I3" s="3" t="s">
        <v>26</v>
      </c>
      <c r="J3" s="3" t="s">
        <v>25</v>
      </c>
      <c r="K3">
        <v>2</v>
      </c>
    </row>
    <row r="4" spans="1:11" x14ac:dyDescent="0.25">
      <c r="A4" s="3"/>
      <c r="B4" s="3"/>
      <c r="C4" s="2"/>
      <c r="D4" s="2"/>
      <c r="E4" s="2"/>
      <c r="F4" s="2"/>
      <c r="G4" s="2"/>
      <c r="H4" s="2"/>
      <c r="I4" s="3" t="s">
        <v>27</v>
      </c>
      <c r="J4" s="3" t="s">
        <v>25</v>
      </c>
      <c r="K4">
        <v>3</v>
      </c>
    </row>
    <row r="5" spans="1:11" x14ac:dyDescent="0.25">
      <c r="A5" s="2"/>
      <c r="B5" s="2"/>
      <c r="C5" s="2"/>
      <c r="D5" s="2"/>
      <c r="E5" s="2"/>
      <c r="F5" s="2"/>
      <c r="G5" s="2"/>
      <c r="H5" s="2"/>
      <c r="I5" s="3" t="s">
        <v>28</v>
      </c>
      <c r="J5" s="3" t="s">
        <v>25</v>
      </c>
      <c r="K5">
        <v>4</v>
      </c>
    </row>
    <row r="6" spans="1:11" x14ac:dyDescent="0.25">
      <c r="A6" s="2"/>
      <c r="B6" s="2"/>
      <c r="C6" s="2"/>
      <c r="D6" s="2"/>
      <c r="E6" s="2"/>
      <c r="F6" s="2"/>
      <c r="G6" s="2"/>
      <c r="H6" s="2"/>
      <c r="I6" s="3" t="s">
        <v>29</v>
      </c>
      <c r="J6" s="3" t="s">
        <v>25</v>
      </c>
      <c r="K6">
        <v>5</v>
      </c>
    </row>
    <row r="7" spans="1:11" x14ac:dyDescent="0.25">
      <c r="A7" s="2"/>
      <c r="B7" s="2"/>
      <c r="C7" s="2"/>
      <c r="D7" s="2"/>
      <c r="E7" s="2"/>
      <c r="F7" s="2"/>
      <c r="G7" s="2"/>
      <c r="H7" s="2"/>
      <c r="I7" s="3" t="s">
        <v>31</v>
      </c>
      <c r="J7" s="3" t="s">
        <v>25</v>
      </c>
      <c r="K7">
        <v>6</v>
      </c>
    </row>
    <row r="8" spans="1:11" x14ac:dyDescent="0.25">
      <c r="A8" s="2"/>
      <c r="B8" s="2"/>
      <c r="C8" s="2"/>
      <c r="D8" s="2"/>
      <c r="E8" s="2"/>
      <c r="F8" s="2"/>
      <c r="G8" s="2"/>
      <c r="H8" s="2"/>
      <c r="I8" s="3" t="s">
        <v>32</v>
      </c>
      <c r="J8" s="3" t="s">
        <v>25</v>
      </c>
      <c r="K8">
        <v>7</v>
      </c>
    </row>
    <row r="9" spans="1:11" x14ac:dyDescent="0.25">
      <c r="A9" s="2"/>
      <c r="B9" s="2"/>
      <c r="C9" s="2"/>
      <c r="D9" s="2"/>
      <c r="E9" s="2"/>
      <c r="F9" s="2"/>
      <c r="G9" s="2"/>
      <c r="H9" s="2"/>
      <c r="I9" s="3" t="s">
        <v>33</v>
      </c>
      <c r="J9" s="3" t="s">
        <v>25</v>
      </c>
      <c r="K9">
        <v>8</v>
      </c>
    </row>
    <row r="10" spans="1:11" x14ac:dyDescent="0.25">
      <c r="A10" s="2"/>
      <c r="B10" s="2"/>
      <c r="C10" s="2"/>
      <c r="D10" s="2"/>
      <c r="E10" s="2"/>
      <c r="F10" s="2"/>
      <c r="G10" s="2"/>
      <c r="H10" s="2"/>
      <c r="I10" s="3" t="s">
        <v>34</v>
      </c>
      <c r="J10" s="3" t="s">
        <v>25</v>
      </c>
      <c r="K10">
        <v>9</v>
      </c>
    </row>
    <row r="11" spans="1:11" x14ac:dyDescent="0.25">
      <c r="A11" s="2"/>
      <c r="B11" s="2"/>
      <c r="C11" s="2"/>
      <c r="D11" s="2"/>
      <c r="E11" s="2"/>
      <c r="F11" s="2"/>
      <c r="G11" s="2"/>
      <c r="H11" s="2"/>
      <c r="I11" s="3" t="s">
        <v>35</v>
      </c>
      <c r="J11" s="3" t="s">
        <v>30</v>
      </c>
      <c r="K11">
        <v>10</v>
      </c>
    </row>
    <row r="14" spans="1:11" x14ac:dyDescent="0.25">
      <c r="A14" t="s">
        <v>38</v>
      </c>
      <c r="B14" t="s">
        <v>39</v>
      </c>
      <c r="C14" t="s">
        <v>59</v>
      </c>
    </row>
    <row r="15" spans="1:11" x14ac:dyDescent="0.25">
      <c r="A15" t="s">
        <v>40</v>
      </c>
      <c r="B15" s="6">
        <f>Payment!F13+Payment!E13-Payment!C13</f>
        <v>0</v>
      </c>
    </row>
    <row r="16" spans="1:11" x14ac:dyDescent="0.25">
      <c r="A16" t="s">
        <v>45</v>
      </c>
      <c r="B16" s="6">
        <f>SUM(Payment!L4:$L$12)</f>
        <v>0</v>
      </c>
    </row>
    <row r="17" spans="1:3" x14ac:dyDescent="0.25">
      <c r="A17" t="s">
        <v>44</v>
      </c>
      <c r="B17">
        <f>Payment!D13*INDEX($I$2:$K$11,MATCH(Payment!$B$2,$I$2:$I$11,0),3)-Payment!E13</f>
        <v>-747</v>
      </c>
      <c r="C17" t="s">
        <v>60</v>
      </c>
    </row>
    <row r="18" spans="1:3" x14ac:dyDescent="0.25">
      <c r="A18" t="s">
        <v>58</v>
      </c>
      <c r="B18" s="6">
        <f>C18-Payment!C13</f>
        <v>0</v>
      </c>
      <c r="C18" s="6">
        <v>203901037</v>
      </c>
    </row>
    <row r="19" spans="1:3" x14ac:dyDescent="0.25">
      <c r="A19" t="s">
        <v>734</v>
      </c>
      <c r="B19" s="6">
        <f>SUM(PaymentCodingDetailCheck!C3:I11,PaymentCodingDetailCheck!C15:G23,PaymentCodingDetailCheck!C27:G35)</f>
        <v>0</v>
      </c>
    </row>
    <row r="20" spans="1:3" x14ac:dyDescent="0.25">
      <c r="A20" t="s">
        <v>757</v>
      </c>
      <c r="B20" s="6">
        <f>SUM('Final Total Check'!K4:P13,'Final Total Check'!K17:P26)</f>
        <v>0</v>
      </c>
    </row>
    <row r="21" spans="1:3" x14ac:dyDescent="0.25">
      <c r="A21" t="s">
        <v>759</v>
      </c>
      <c r="B21" s="6">
        <f>SUM(PaymentCodingTotal!K27:L35)</f>
        <v>0</v>
      </c>
    </row>
    <row r="22" spans="1:3" x14ac:dyDescent="0.25">
      <c r="A22" t="s">
        <v>760</v>
      </c>
      <c r="B22" s="6">
        <f>SUM('PaymentCodingDetail_Sept-May'!$K$27:$M$36)</f>
        <v>0</v>
      </c>
    </row>
    <row r="23" spans="1:3" x14ac:dyDescent="0.25">
      <c r="A23" t="s">
        <v>761</v>
      </c>
      <c r="B23" s="6">
        <f>SUM(PaymentCodingDetail_June!K27:M36)</f>
        <v>0</v>
      </c>
    </row>
    <row r="24" spans="1:3" x14ac:dyDescent="0.25">
      <c r="A24" t="s">
        <v>762</v>
      </c>
      <c r="B24" s="6">
        <f>SUM(PaymentCodingDetailCheck!K3:K7,PaymentCodingDetail_June!K3:K7,'PaymentCodingDetail_Sept-May'!K3:K7,PaymentCodingTotal!K3:K7)</f>
        <v>0</v>
      </c>
    </row>
    <row r="25" spans="1:3" x14ac:dyDescent="0.25">
      <c r="A25" t="s">
        <v>764</v>
      </c>
      <c r="B25" s="6">
        <f>MIN(PaymentCodingDetail_June!K3:K7,PaymentCodingDetail_June!K27:M36,PaymentCodingTotal!K3:K7,PaymentCodingTotal!K27:L35,'PaymentCodingDetail_Sept-May'!K3:K7,'PaymentCodingDetail_Sept-May'!K27:M36)</f>
        <v>0</v>
      </c>
    </row>
    <row r="26" spans="1:3" x14ac:dyDescent="0.25">
      <c r="A26" t="s">
        <v>765</v>
      </c>
      <c r="B26" s="6">
        <f>MAX(PaymentCodingDetail_June!K4:K8,PaymentCodingDetail_June!K28:M37,PaymentCodingTotal!K4:K8,PaymentCodingTotal!K28:L36,'PaymentCodingDetail_Sept-May'!K4:K8,'PaymentCodingDetail_Sept-May'!K28:M37)</f>
        <v>0</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L14"/>
  <sheetViews>
    <sheetView tabSelected="1" workbookViewId="0">
      <selection activeCell="B2" sqref="B2"/>
    </sheetView>
  </sheetViews>
  <sheetFormatPr defaultRowHeight="15" x14ac:dyDescent="0.25"/>
  <cols>
    <col min="1" max="1" width="4.42578125" customWidth="1"/>
    <col min="2" max="2" width="26.7109375" bestFit="1" customWidth="1"/>
    <col min="3" max="3" width="13.7109375" bestFit="1" customWidth="1"/>
    <col min="4" max="4" width="12.42578125" bestFit="1" customWidth="1"/>
    <col min="5" max="5" width="14.85546875" bestFit="1" customWidth="1"/>
    <col min="6" max="6" width="13.7109375" bestFit="1" customWidth="1"/>
    <col min="7" max="8" width="9.140625" customWidth="1"/>
    <col min="9" max="9" width="9.140625" hidden="1" customWidth="1"/>
    <col min="10" max="10" width="12.5703125" style="6" hidden="1" customWidth="1"/>
    <col min="11" max="12" width="9.140625" hidden="1" customWidth="1"/>
    <col min="13" max="13" width="9.140625" customWidth="1"/>
  </cols>
  <sheetData>
    <row r="1" spans="1:12" x14ac:dyDescent="0.25">
      <c r="A1" s="62" t="str">
        <f>CONCATENATE("FY ",Notes!$B$1," AEA State Aid Payments")</f>
        <v>FY 2025 AEA State Aid Payments</v>
      </c>
      <c r="B1" s="63"/>
      <c r="C1" s="63"/>
      <c r="D1" s="63"/>
      <c r="E1" s="63"/>
      <c r="F1" s="63"/>
    </row>
    <row r="2" spans="1:12" ht="30" x14ac:dyDescent="0.25">
      <c r="A2" s="38"/>
      <c r="B2" s="58" t="s">
        <v>35</v>
      </c>
      <c r="C2" s="40" t="s">
        <v>36</v>
      </c>
      <c r="D2" s="40" t="str">
        <f>CONCATENATE(Payment!$B$2," 
Payment")</f>
        <v>June 
Payment</v>
      </c>
      <c r="E2" s="40" t="str">
        <f>CONCATENATE("Paid Through 
",Payment!$B$2)</f>
        <v>Paid Through 
June</v>
      </c>
      <c r="F2" s="40" t="s">
        <v>37</v>
      </c>
      <c r="I2" t="s">
        <v>43</v>
      </c>
      <c r="L2" s="29" t="s">
        <v>41</v>
      </c>
    </row>
    <row r="3" spans="1:12" ht="27.75" hidden="1" customHeight="1" x14ac:dyDescent="0.25">
      <c r="A3" s="41"/>
      <c r="B3" s="42" t="str">
        <f>Data[[#Headers],[AEA Name]]</f>
        <v>AEA Name</v>
      </c>
      <c r="C3" s="42" t="str">
        <f>Data[[#Headers],[Original Budget]]</f>
        <v>Original Budget</v>
      </c>
      <c r="D3" s="3" t="str">
        <f>IF(Payment!$B$2="June","Pay 2 Final","Pay1 - Sept - May")</f>
        <v>Pay 2 Final</v>
      </c>
      <c r="E3" s="43" t="str">
        <f>CONCATENATE("Paid Thru ",Payment!$B$2)</f>
        <v>Paid Thru June</v>
      </c>
      <c r="F3" s="43"/>
      <c r="K3" t="s">
        <v>42</v>
      </c>
    </row>
    <row r="4" spans="1:12" x14ac:dyDescent="0.25">
      <c r="A4" s="44" t="str">
        <f>Data!A2</f>
        <v>01</v>
      </c>
      <c r="B4" s="45" t="str">
        <f>INDEX(Data[],MATCH($A4,Data[AEA],0),MATCH(B$3,Data[#Headers],0))</f>
        <v>Keystone AEA 1</v>
      </c>
      <c r="C4" s="24">
        <f>INDEX(Data[],MATCH($A4,Data[AEA],0),MATCH(C$3,Data[#Headers],0))</f>
        <v>12472698</v>
      </c>
      <c r="D4" s="24">
        <f>INDEX(Data[],MATCH($A4,Data[AEA],0),MATCH(D$3,Data[#Headers],0))</f>
        <v>1247259</v>
      </c>
      <c r="E4" s="24">
        <f>INDEX(Data[],MATCH($A4,Data[AEA],0),MATCH(E$3,Data[#Headers],0))</f>
        <v>12472698</v>
      </c>
      <c r="F4" s="24">
        <f>C4-E4</f>
        <v>0</v>
      </c>
      <c r="I4" t="s">
        <v>766</v>
      </c>
      <c r="J4" s="6">
        <v>1247259</v>
      </c>
      <c r="K4" t="str">
        <f>MID(I4,3,2)</f>
        <v>01</v>
      </c>
      <c r="L4" s="6">
        <f>INDEX($A$4:$F$12,MATCH(K4,$A$4:$A$12,0),4)-J4</f>
        <v>0</v>
      </c>
    </row>
    <row r="5" spans="1:12" x14ac:dyDescent="0.25">
      <c r="A5" s="44" t="str">
        <f>Data!A3</f>
        <v>05</v>
      </c>
      <c r="B5" s="45" t="str">
        <f>INDEX(Data[],MATCH($A5,Data[AEA],0),MATCH(B$3,Data[#Headers],0))</f>
        <v>Prairie Lakes AEA 8</v>
      </c>
      <c r="C5" s="24">
        <f>INDEX(Data[],MATCH($A5,Data[AEA],0),MATCH(C$3,Data[#Headers],0))</f>
        <v>13007855</v>
      </c>
      <c r="D5" s="24">
        <f>INDEX(Data[],MATCH($A5,Data[AEA],0),MATCH(D$3,Data[#Headers],0))</f>
        <v>1300790</v>
      </c>
      <c r="E5" s="24">
        <f>INDEX(Data[],MATCH($A5,Data[AEA],0),MATCH(E$3,Data[#Headers],0))</f>
        <v>13007855</v>
      </c>
      <c r="F5" s="24">
        <f t="shared" ref="F5:F12" si="0">C5-E5</f>
        <v>0</v>
      </c>
      <c r="I5" t="s">
        <v>767</v>
      </c>
      <c r="J5" s="6">
        <v>1300790</v>
      </c>
      <c r="K5" t="str">
        <f t="shared" ref="K5:K12" si="1">MID(I5,3,2)</f>
        <v>05</v>
      </c>
      <c r="L5" s="6">
        <f t="shared" ref="L5:L12" si="2">INDEX($A$4:$F$12,MATCH(K5,$A$4:$A$12,0),4)-J5</f>
        <v>0</v>
      </c>
    </row>
    <row r="6" spans="1:12" x14ac:dyDescent="0.25">
      <c r="A6" s="44" t="str">
        <f>Data!A4</f>
        <v>07</v>
      </c>
      <c r="B6" s="45" t="str">
        <f>INDEX(Data[],MATCH($A6,Data[AEA],0),MATCH(B$3,Data[#Headers],0))</f>
        <v>Central Rivers</v>
      </c>
      <c r="C6" s="24">
        <f>INDEX(Data[],MATCH($A6,Data[AEA],0),MATCH(C$3,Data[#Headers],0))</f>
        <v>26773961</v>
      </c>
      <c r="D6" s="24">
        <f>INDEX(Data[],MATCH($A6,Data[AEA],0),MATCH(D$3,Data[#Headers],0))</f>
        <v>2677379</v>
      </c>
      <c r="E6" s="24">
        <f>INDEX(Data[],MATCH($A6,Data[AEA],0),MATCH(E$3,Data[#Headers],0))</f>
        <v>26773961</v>
      </c>
      <c r="F6" s="24">
        <f t="shared" si="0"/>
        <v>0</v>
      </c>
      <c r="I6" t="s">
        <v>768</v>
      </c>
      <c r="J6" s="6">
        <v>2677379</v>
      </c>
      <c r="K6" t="str">
        <f t="shared" si="1"/>
        <v>07</v>
      </c>
      <c r="L6" s="6">
        <f t="shared" si="2"/>
        <v>0</v>
      </c>
    </row>
    <row r="7" spans="1:12" x14ac:dyDescent="0.25">
      <c r="A7" s="44" t="str">
        <f>Data!A5</f>
        <v>09</v>
      </c>
      <c r="B7" s="45" t="str">
        <f>INDEX(Data[],MATCH($A7,Data[AEA],0),MATCH(B$3,Data[#Headers],0))</f>
        <v>Mississippi Bend AEA 9</v>
      </c>
      <c r="C7" s="24">
        <f>INDEX(Data[],MATCH($A7,Data[AEA],0),MATCH(C$3,Data[#Headers],0))</f>
        <v>18790619</v>
      </c>
      <c r="D7" s="24">
        <f>INDEX(Data[],MATCH($A7,Data[AEA],0),MATCH(D$3,Data[#Headers],0))</f>
        <v>1879043</v>
      </c>
      <c r="E7" s="24">
        <f>INDEX(Data[],MATCH($A7,Data[AEA],0),MATCH(E$3,Data[#Headers],0))</f>
        <v>18790619</v>
      </c>
      <c r="F7" s="24">
        <f t="shared" si="0"/>
        <v>0</v>
      </c>
      <c r="I7" t="s">
        <v>769</v>
      </c>
      <c r="J7" s="6">
        <v>1879043</v>
      </c>
      <c r="K7" t="str">
        <f t="shared" si="1"/>
        <v>09</v>
      </c>
      <c r="L7" s="6">
        <f t="shared" si="2"/>
        <v>0</v>
      </c>
    </row>
    <row r="8" spans="1:12" x14ac:dyDescent="0.25">
      <c r="A8" s="44" t="str">
        <f>Data!A6</f>
        <v>10</v>
      </c>
      <c r="B8" s="45" t="str">
        <f>INDEX(Data[],MATCH($A8,Data[AEA],0),MATCH(B$3,Data[#Headers],0))</f>
        <v>Grant Wood AEA 10</v>
      </c>
      <c r="C8" s="24">
        <f>INDEX(Data[],MATCH($A8,Data[AEA],0),MATCH(C$3,Data[#Headers],0))</f>
        <v>28527804</v>
      </c>
      <c r="D8" s="24">
        <f>INDEX(Data[],MATCH($A8,Data[AEA],0),MATCH(D$3,Data[#Headers],0))</f>
        <v>2852784</v>
      </c>
      <c r="E8" s="24">
        <f>INDEX(Data[],MATCH($A8,Data[AEA],0),MATCH(E$3,Data[#Headers],0))</f>
        <v>28527804</v>
      </c>
      <c r="F8" s="24">
        <f t="shared" si="0"/>
        <v>0</v>
      </c>
      <c r="I8" t="s">
        <v>770</v>
      </c>
      <c r="J8" s="6">
        <v>2852784</v>
      </c>
      <c r="K8" t="str">
        <f t="shared" si="1"/>
        <v>10</v>
      </c>
      <c r="L8" s="6">
        <f t="shared" si="2"/>
        <v>0</v>
      </c>
    </row>
    <row r="9" spans="1:12" x14ac:dyDescent="0.25">
      <c r="A9" s="44" t="str">
        <f>Data!A7</f>
        <v>11</v>
      </c>
      <c r="B9" s="45" t="str">
        <f>INDEX(Data[],MATCH($A9,Data[AEA],0),MATCH(B$3,Data[#Headers],0))</f>
        <v>Heartland AEA 11</v>
      </c>
      <c r="C9" s="24">
        <f>INDEX(Data[],MATCH($A9,Data[AEA],0),MATCH(C$3,Data[#Headers],0))</f>
        <v>57304196</v>
      </c>
      <c r="D9" s="24">
        <f>INDEX(Data[],MATCH($A9,Data[AEA],0),MATCH(D$3,Data[#Headers],0))</f>
        <v>5730398</v>
      </c>
      <c r="E9" s="24">
        <f>INDEX(Data[],MATCH($A9,Data[AEA],0),MATCH(E$3,Data[#Headers],0))</f>
        <v>57304196</v>
      </c>
      <c r="F9" s="24">
        <f t="shared" si="0"/>
        <v>0</v>
      </c>
      <c r="I9" t="s">
        <v>771</v>
      </c>
      <c r="J9" s="6">
        <v>5730398</v>
      </c>
      <c r="K9" t="str">
        <f t="shared" si="1"/>
        <v>11</v>
      </c>
      <c r="L9" s="6">
        <f t="shared" si="2"/>
        <v>0</v>
      </c>
    </row>
    <row r="10" spans="1:12" x14ac:dyDescent="0.25">
      <c r="A10" s="44" t="str">
        <f>Data!A8</f>
        <v>12</v>
      </c>
      <c r="B10" s="45" t="str">
        <f>INDEX(Data[],MATCH($A10,Data[AEA],0),MATCH(B$3,Data[#Headers],0))</f>
        <v>Northwest AEA</v>
      </c>
      <c r="C10" s="24">
        <f>INDEX(Data[],MATCH($A10,Data[AEA],0),MATCH(C$3,Data[#Headers],0))</f>
        <v>17251166</v>
      </c>
      <c r="D10" s="24">
        <f>INDEX(Data[],MATCH($A10,Data[AEA],0),MATCH(D$3,Data[#Headers],0))</f>
        <v>1725140</v>
      </c>
      <c r="E10" s="24">
        <f>INDEX(Data[],MATCH($A10,Data[AEA],0),MATCH(E$3,Data[#Headers],0))</f>
        <v>17251166</v>
      </c>
      <c r="F10" s="24">
        <f t="shared" si="0"/>
        <v>0</v>
      </c>
      <c r="I10" t="s">
        <v>772</v>
      </c>
      <c r="J10" s="6">
        <v>1725140</v>
      </c>
      <c r="K10" t="str">
        <f t="shared" si="1"/>
        <v>12</v>
      </c>
      <c r="L10" s="6">
        <f t="shared" si="2"/>
        <v>0</v>
      </c>
    </row>
    <row r="11" spans="1:12" x14ac:dyDescent="0.25">
      <c r="A11" s="44" t="str">
        <f>Data!A9</f>
        <v>13</v>
      </c>
      <c r="B11" s="45" t="str">
        <f>INDEX(Data[],MATCH($A11,Data[AEA],0),MATCH(B$3,Data[#Headers],0))</f>
        <v>Green Hills AEA 13</v>
      </c>
      <c r="C11" s="24">
        <f>INDEX(Data[],MATCH($A11,Data[AEA],0),MATCH(C$3,Data[#Headers],0))</f>
        <v>15739037</v>
      </c>
      <c r="D11" s="24">
        <f>INDEX(Data[],MATCH($A11,Data[AEA],0),MATCH(D$3,Data[#Headers],0))</f>
        <v>1573874</v>
      </c>
      <c r="E11" s="24">
        <f>INDEX(Data[],MATCH($A11,Data[AEA],0),MATCH(E$3,Data[#Headers],0))</f>
        <v>15739037</v>
      </c>
      <c r="F11" s="24">
        <f t="shared" si="0"/>
        <v>0</v>
      </c>
      <c r="I11" t="s">
        <v>773</v>
      </c>
      <c r="J11" s="6">
        <v>1573874</v>
      </c>
      <c r="K11" t="str">
        <f t="shared" si="1"/>
        <v>13</v>
      </c>
      <c r="L11" s="6">
        <f t="shared" si="2"/>
        <v>0</v>
      </c>
    </row>
    <row r="12" spans="1:12" x14ac:dyDescent="0.25">
      <c r="A12" s="44" t="str">
        <f>Data!A10</f>
        <v>15</v>
      </c>
      <c r="B12" s="45" t="str">
        <f>INDEX(Data[],MATCH($A12,Data[AEA],0),MATCH(B$3,Data[#Headers],0))</f>
        <v>Great Prairie AEA 15</v>
      </c>
      <c r="C12" s="24">
        <f>INDEX(Data[],MATCH($A12,Data[AEA],0),MATCH(C$3,Data[#Headers],0))</f>
        <v>14033701</v>
      </c>
      <c r="D12" s="24">
        <f>INDEX(Data[],MATCH($A12,Data[AEA],0),MATCH(D$3,Data[#Headers],0))</f>
        <v>1403362</v>
      </c>
      <c r="E12" s="24">
        <f>INDEX(Data[],MATCH($A12,Data[AEA],0),MATCH(E$3,Data[#Headers],0))</f>
        <v>14033701</v>
      </c>
      <c r="F12" s="24">
        <f t="shared" si="0"/>
        <v>0</v>
      </c>
      <c r="I12" t="s">
        <v>774</v>
      </c>
      <c r="J12" s="6">
        <v>1403362</v>
      </c>
      <c r="K12" t="str">
        <f t="shared" si="1"/>
        <v>15</v>
      </c>
      <c r="L12" s="6">
        <f t="shared" si="2"/>
        <v>0</v>
      </c>
    </row>
    <row r="13" spans="1:12" ht="15.75" thickBot="1" x14ac:dyDescent="0.3">
      <c r="A13" s="39"/>
      <c r="B13" s="39"/>
      <c r="C13" s="51">
        <f>SUM(C4:C12)</f>
        <v>203901037</v>
      </c>
      <c r="D13" s="51">
        <f t="shared" ref="D13:F13" si="3">SUM(D4:D12)</f>
        <v>20390029</v>
      </c>
      <c r="E13" s="51">
        <f t="shared" si="3"/>
        <v>203901037</v>
      </c>
      <c r="F13" s="51">
        <f t="shared" si="3"/>
        <v>0</v>
      </c>
      <c r="J13" s="6">
        <f>SUM(J4:J12)</f>
        <v>20390029</v>
      </c>
    </row>
    <row r="14" spans="1:12" ht="15.75" thickTop="1" x14ac:dyDescent="0.25"/>
  </sheetData>
  <sheetProtection sheet="1" objects="1" scenarios="1"/>
  <mergeCells count="1">
    <mergeCell ref="A1:F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Notes!$I$2:$I$11</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F290-9B74-424F-9292-512575D86326}">
  <sheetPr>
    <tabColor rgb="FFFF0000"/>
    <pageSetUpPr fitToPage="1"/>
  </sheetPr>
  <dimension ref="A1:L39"/>
  <sheetViews>
    <sheetView zoomScale="90" zoomScaleNormal="90" workbookViewId="0">
      <selection activeCell="F27" sqref="F27"/>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bestFit="1" customWidth="1"/>
    <col min="12" max="12" width="11" bestFit="1" customWidth="1"/>
    <col min="13" max="13" width="12.140625" bestFit="1" customWidth="1"/>
  </cols>
  <sheetData>
    <row r="1" spans="1:11" ht="45" customHeight="1" x14ac:dyDescent="0.25">
      <c r="A1" s="64" t="str">
        <f>_xlfn.CONCAT("FY ",K2," AEA Enrollments and Cost - Final - State Aid and Property Tax Breakdown")</f>
        <v>FY 2025 AEA Enrollments and Cost - Final - State Aid and Property Tax Breakdown</v>
      </c>
      <c r="B1" s="64"/>
      <c r="C1" s="64"/>
      <c r="D1" s="64"/>
      <c r="E1" s="64"/>
      <c r="F1" s="64"/>
      <c r="G1" s="64"/>
      <c r="H1" s="64"/>
      <c r="I1" s="64"/>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1" t="str">
        <f>Data_Detail[[#Headers],[State Aid Special Ed Minus Reduction]]</f>
        <v>State Aid Special Ed Minus Reduction</v>
      </c>
      <c r="G2" s="33" t="str">
        <f>Data_Detail[[#Headers],[Special Education Property Tax Portion]]</f>
        <v>Special Education Property Tax Portion</v>
      </c>
      <c r="H2" s="33"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2025</v>
      </c>
    </row>
    <row r="3" spans="1:11" x14ac:dyDescent="0.25">
      <c r="A3" s="18" t="str">
        <f>Data!A2</f>
        <v>01</v>
      </c>
      <c r="B3" s="11" t="str">
        <f>INDEX(Data_Detail[],MATCH(PaymentCodingDetailCheck!$A3,Data_Detail[AEA],0),3)</f>
        <v>Keystone AEA 1</v>
      </c>
      <c r="C3" s="12">
        <f>('PaymentCodingDetail_Sept-May'!C3*9)+PaymentCodingDetail_June!C3-PaymentCodingTotal!C3</f>
        <v>0</v>
      </c>
      <c r="D3" s="12">
        <f>('PaymentCodingDetail_Sept-May'!D3*9)+PaymentCodingDetail_June!D3-PaymentCodingTotal!D3</f>
        <v>0</v>
      </c>
      <c r="E3" s="12">
        <f>('PaymentCodingDetail_Sept-May'!E3*9)+PaymentCodingDetail_June!E3-PaymentCodingTotal!E3</f>
        <v>0</v>
      </c>
      <c r="F3" s="22">
        <f>('PaymentCodingDetail_Sept-May'!F3*9)+PaymentCodingDetail_June!F3-PaymentCodingTotal!F3</f>
        <v>0</v>
      </c>
      <c r="G3" s="34">
        <f>('PaymentCodingDetail_Sept-May'!G3*9)+PaymentCodingDetail_June!G3-PaymentCodingTotal!G3</f>
        <v>0</v>
      </c>
      <c r="H3" s="34">
        <f>('PaymentCodingDetail_Sept-May'!H3*9)+PaymentCodingDetail_June!H3-PaymentCodingTotal!H3</f>
        <v>0</v>
      </c>
      <c r="I3" s="12">
        <f>('PaymentCodingDetail_Sept-May'!I3*9)+PaymentCodingDetail_June!I3-PaymentCodingTotal!I3</f>
        <v>0</v>
      </c>
      <c r="K3" s="6">
        <f>G12+D24+H12+C36+D36-G36</f>
        <v>0</v>
      </c>
    </row>
    <row r="4" spans="1:11" x14ac:dyDescent="0.25">
      <c r="A4" s="18" t="str">
        <f>Data!A3</f>
        <v>05</v>
      </c>
      <c r="B4" s="11" t="str">
        <f>INDEX(Data_Detail[],MATCH(PaymentCodingDetailCheck!$A4,Data_Detail[AEA],0),3)</f>
        <v>Prairie Lakes AEA 8</v>
      </c>
      <c r="C4" s="12">
        <f>('PaymentCodingDetail_Sept-May'!C4*9)+PaymentCodingDetail_June!C4-PaymentCodingTotal!C4</f>
        <v>0</v>
      </c>
      <c r="D4" s="12">
        <f>('PaymentCodingDetail_Sept-May'!D4*9)+PaymentCodingDetail_June!D4-PaymentCodingTotal!D4</f>
        <v>0</v>
      </c>
      <c r="E4" s="12">
        <f>('PaymentCodingDetail_Sept-May'!E4*9)+PaymentCodingDetail_June!E4-PaymentCodingTotal!E4</f>
        <v>0</v>
      </c>
      <c r="F4" s="22">
        <f>('PaymentCodingDetail_Sept-May'!F4*9)+PaymentCodingDetail_June!F4-PaymentCodingTotal!F4</f>
        <v>0</v>
      </c>
      <c r="G4" s="34">
        <f>('PaymentCodingDetail_Sept-May'!G4*9)+PaymentCodingDetail_June!G4-PaymentCodingTotal!G4</f>
        <v>0</v>
      </c>
      <c r="H4" s="34">
        <f>('PaymentCodingDetail_Sept-May'!H4*9)+PaymentCodingDetail_June!H4-PaymentCodingTotal!H4</f>
        <v>0</v>
      </c>
      <c r="I4" s="12">
        <f>('PaymentCodingDetail_Sept-May'!I4*9)+PaymentCodingDetail_June!I4-PaymentCodingTotal!I4</f>
        <v>0</v>
      </c>
      <c r="K4" s="6">
        <f>F12+C24+F24+G24-F36</f>
        <v>0</v>
      </c>
    </row>
    <row r="5" spans="1:11" x14ac:dyDescent="0.25">
      <c r="A5" s="18" t="str">
        <f>Data!A4</f>
        <v>07</v>
      </c>
      <c r="B5" s="11" t="str">
        <f>INDEX(Data_Detail[],MATCH(PaymentCodingDetailCheck!$A5,Data_Detail[AEA],0),3)</f>
        <v>Central Rivers</v>
      </c>
      <c r="C5" s="12">
        <f>('PaymentCodingDetail_Sept-May'!C5*9)+PaymentCodingDetail_June!C5-PaymentCodingTotal!C5</f>
        <v>0</v>
      </c>
      <c r="D5" s="12">
        <f>('PaymentCodingDetail_Sept-May'!D5*9)+PaymentCodingDetail_June!D5-PaymentCodingTotal!D5</f>
        <v>0</v>
      </c>
      <c r="E5" s="12">
        <f>('PaymentCodingDetail_Sept-May'!E5*9)+PaymentCodingDetail_June!E5-PaymentCodingTotal!E5</f>
        <v>0</v>
      </c>
      <c r="F5" s="22">
        <f>('PaymentCodingDetail_Sept-May'!F5*9)+PaymentCodingDetail_June!F5-PaymentCodingTotal!F5</f>
        <v>0</v>
      </c>
      <c r="G5" s="34">
        <f>('PaymentCodingDetail_Sept-May'!G5*9)+PaymentCodingDetail_June!G5-PaymentCodingTotal!G5</f>
        <v>0</v>
      </c>
      <c r="H5" s="34">
        <f>('PaymentCodingDetail_Sept-May'!H5*9)+PaymentCodingDetail_June!H5-PaymentCodingTotal!H5</f>
        <v>0</v>
      </c>
      <c r="I5" s="12">
        <f>('PaymentCodingDetail_Sept-May'!I5*9)+PaymentCodingDetail_June!I5-PaymentCodingTotal!I5</f>
        <v>0</v>
      </c>
      <c r="K5" s="6">
        <f>F12+E12-D12</f>
        <v>0</v>
      </c>
    </row>
    <row r="6" spans="1:11" x14ac:dyDescent="0.25">
      <c r="A6" s="18" t="str">
        <f>Data!A5</f>
        <v>09</v>
      </c>
      <c r="B6" s="11" t="str">
        <f>INDEX(Data_Detail[],MATCH(PaymentCodingDetailCheck!$A6,Data_Detail[AEA],0),3)</f>
        <v>Mississippi Bend AEA 9</v>
      </c>
      <c r="C6" s="12">
        <f>('PaymentCodingDetail_Sept-May'!C6*9)+PaymentCodingDetail_June!C6-PaymentCodingTotal!C6</f>
        <v>0</v>
      </c>
      <c r="D6" s="12">
        <f>('PaymentCodingDetail_Sept-May'!D6*9)+PaymentCodingDetail_June!D6-PaymentCodingTotal!D6</f>
        <v>0</v>
      </c>
      <c r="E6" s="12">
        <f>('PaymentCodingDetail_Sept-May'!E6*9)+PaymentCodingDetail_June!E6-PaymentCodingTotal!E6</f>
        <v>0</v>
      </c>
      <c r="F6" s="22">
        <f>('PaymentCodingDetail_Sept-May'!F6*9)+PaymentCodingDetail_June!F6-PaymentCodingTotal!F6</f>
        <v>0</v>
      </c>
      <c r="G6" s="34">
        <f>('PaymentCodingDetail_Sept-May'!G6*9)+PaymentCodingDetail_June!G6-PaymentCodingTotal!G6</f>
        <v>0</v>
      </c>
      <c r="H6" s="34">
        <f>('PaymentCodingDetail_Sept-May'!H6*9)+PaymentCodingDetail_June!H6-PaymentCodingTotal!H6</f>
        <v>0</v>
      </c>
      <c r="I6" s="12">
        <f>('PaymentCodingDetail_Sept-May'!I6*9)+PaymentCodingDetail_June!I6-PaymentCodingTotal!I6</f>
        <v>0</v>
      </c>
      <c r="K6" s="6">
        <f>H12+G12+F12-I12</f>
        <v>0</v>
      </c>
    </row>
    <row r="7" spans="1:11" x14ac:dyDescent="0.25">
      <c r="A7" s="18" t="str">
        <f>Data!A6</f>
        <v>10</v>
      </c>
      <c r="B7" s="11" t="str">
        <f>INDEX(Data_Detail[],MATCH(PaymentCodingDetailCheck!$A7,Data_Detail[AEA],0),3)</f>
        <v>Grant Wood AEA 10</v>
      </c>
      <c r="C7" s="12">
        <f>('PaymentCodingDetail_Sept-May'!C7*9)+PaymentCodingDetail_June!C7-PaymentCodingTotal!C7</f>
        <v>0</v>
      </c>
      <c r="D7" s="12">
        <f>('PaymentCodingDetail_Sept-May'!D7*9)+PaymentCodingDetail_June!D7-PaymentCodingTotal!D7</f>
        <v>0</v>
      </c>
      <c r="E7" s="12">
        <f>('PaymentCodingDetail_Sept-May'!E7*9)+PaymentCodingDetail_June!E7-PaymentCodingTotal!E7</f>
        <v>0</v>
      </c>
      <c r="F7" s="22">
        <f>('PaymentCodingDetail_Sept-May'!F7*9)+PaymentCodingDetail_June!F7-PaymentCodingTotal!F7</f>
        <v>0</v>
      </c>
      <c r="G7" s="34">
        <f>('PaymentCodingDetail_Sept-May'!G7*9)+PaymentCodingDetail_June!G7-PaymentCodingTotal!G7</f>
        <v>0</v>
      </c>
      <c r="H7" s="34">
        <f>('PaymentCodingDetail_Sept-May'!H7*9)+PaymentCodingDetail_June!H7-PaymentCodingTotal!H7</f>
        <v>0</v>
      </c>
      <c r="I7" s="12">
        <f>('PaymentCodingDetail_Sept-May'!I7*9)+PaymentCodingDetail_June!I7-PaymentCodingTotal!I7</f>
        <v>0</v>
      </c>
      <c r="K7" s="6">
        <f>C24+D24-E24</f>
        <v>0</v>
      </c>
    </row>
    <row r="8" spans="1:11" x14ac:dyDescent="0.25">
      <c r="A8" s="18" t="str">
        <f>Data!A7</f>
        <v>11</v>
      </c>
      <c r="B8" s="11" t="str">
        <f>INDEX(Data_Detail[],MATCH(PaymentCodingDetailCheck!$A8,Data_Detail[AEA],0),3)</f>
        <v>Heartland AEA 11</v>
      </c>
      <c r="C8" s="12">
        <f>('PaymentCodingDetail_Sept-May'!C8*9)+PaymentCodingDetail_June!C8-PaymentCodingTotal!C8</f>
        <v>0</v>
      </c>
      <c r="D8" s="12">
        <f>('PaymentCodingDetail_Sept-May'!D8*9)+PaymentCodingDetail_June!D8-PaymentCodingTotal!D8</f>
        <v>0</v>
      </c>
      <c r="E8" s="12">
        <f>('PaymentCodingDetail_Sept-May'!E8*9)+PaymentCodingDetail_June!E8-PaymentCodingTotal!E8</f>
        <v>0</v>
      </c>
      <c r="F8" s="22">
        <f>('PaymentCodingDetail_Sept-May'!F8*9)+PaymentCodingDetail_June!F8-PaymentCodingTotal!F8</f>
        <v>0</v>
      </c>
      <c r="G8" s="34">
        <f>('PaymentCodingDetail_Sept-May'!G8*9)+PaymentCodingDetail_June!G8-PaymentCodingTotal!G8</f>
        <v>0</v>
      </c>
      <c r="H8" s="34">
        <f>('PaymentCodingDetail_Sept-May'!H8*9)+PaymentCodingDetail_June!H8-PaymentCodingTotal!H8</f>
        <v>0</v>
      </c>
      <c r="I8" s="12">
        <f>('PaymentCodingDetail_Sept-May'!I8*9)+PaymentCodingDetail_June!I8-PaymentCodingTotal!I8</f>
        <v>0</v>
      </c>
    </row>
    <row r="9" spans="1:11" x14ac:dyDescent="0.25">
      <c r="A9" s="18" t="str">
        <f>Data!A8</f>
        <v>12</v>
      </c>
      <c r="B9" s="11" t="str">
        <f>INDEX(Data_Detail[],MATCH(PaymentCodingDetailCheck!$A9,Data_Detail[AEA],0),3)</f>
        <v>Northwest AEA</v>
      </c>
      <c r="C9" s="12">
        <f>('PaymentCodingDetail_Sept-May'!C9*9)+PaymentCodingDetail_June!C9-PaymentCodingTotal!C9</f>
        <v>0</v>
      </c>
      <c r="D9" s="12">
        <f>('PaymentCodingDetail_Sept-May'!D9*9)+PaymentCodingDetail_June!D9-PaymentCodingTotal!D9</f>
        <v>0</v>
      </c>
      <c r="E9" s="12">
        <f>('PaymentCodingDetail_Sept-May'!E9*9)+PaymentCodingDetail_June!E9-PaymentCodingTotal!E9</f>
        <v>0</v>
      </c>
      <c r="F9" s="22">
        <f>('PaymentCodingDetail_Sept-May'!F9*9)+PaymentCodingDetail_June!F9-PaymentCodingTotal!F9</f>
        <v>0</v>
      </c>
      <c r="G9" s="34">
        <f>('PaymentCodingDetail_Sept-May'!G9*9)+PaymentCodingDetail_June!G9-PaymentCodingTotal!G9</f>
        <v>0</v>
      </c>
      <c r="H9" s="34">
        <f>('PaymentCodingDetail_Sept-May'!H9*9)+PaymentCodingDetail_June!H9-PaymentCodingTotal!H9</f>
        <v>0</v>
      </c>
      <c r="I9" s="12">
        <f>('PaymentCodingDetail_Sept-May'!I9*9)+PaymentCodingDetail_June!I9-PaymentCodingTotal!I9</f>
        <v>0</v>
      </c>
    </row>
    <row r="10" spans="1:11" x14ac:dyDescent="0.25">
      <c r="A10" s="18" t="str">
        <f>Data!A9</f>
        <v>13</v>
      </c>
      <c r="B10" s="11" t="str">
        <f>INDEX(Data_Detail[],MATCH(PaymentCodingDetailCheck!$A10,Data_Detail[AEA],0),3)</f>
        <v>Green Hills AEA 13</v>
      </c>
      <c r="C10" s="12">
        <f>('PaymentCodingDetail_Sept-May'!C10*9)+PaymentCodingDetail_June!C10-PaymentCodingTotal!C10</f>
        <v>0</v>
      </c>
      <c r="D10" s="12">
        <f>('PaymentCodingDetail_Sept-May'!D10*9)+PaymentCodingDetail_June!D10-PaymentCodingTotal!D10</f>
        <v>0</v>
      </c>
      <c r="E10" s="12">
        <f>('PaymentCodingDetail_Sept-May'!E10*9)+PaymentCodingDetail_June!E10-PaymentCodingTotal!E10</f>
        <v>0</v>
      </c>
      <c r="F10" s="22">
        <f>('PaymentCodingDetail_Sept-May'!F10*9)+PaymentCodingDetail_June!F10-PaymentCodingTotal!F10</f>
        <v>0</v>
      </c>
      <c r="G10" s="34">
        <f>('PaymentCodingDetail_Sept-May'!G10*9)+PaymentCodingDetail_June!G10-PaymentCodingTotal!G10</f>
        <v>0</v>
      </c>
      <c r="H10" s="34">
        <f>('PaymentCodingDetail_Sept-May'!H10*9)+PaymentCodingDetail_June!H10-PaymentCodingTotal!H10</f>
        <v>0</v>
      </c>
      <c r="I10" s="12">
        <f>('PaymentCodingDetail_Sept-May'!I10*9)+PaymentCodingDetail_June!I10-PaymentCodingTotal!I10</f>
        <v>0</v>
      </c>
    </row>
    <row r="11" spans="1:11" x14ac:dyDescent="0.25">
      <c r="A11" s="18" t="str">
        <f>Data!A10</f>
        <v>15</v>
      </c>
      <c r="B11" s="11" t="str">
        <f>INDEX(Data_Detail[],MATCH(PaymentCodingDetailCheck!$A11,Data_Detail[AEA],0),3)</f>
        <v>Great Prairie AEA 15</v>
      </c>
      <c r="C11" s="12">
        <f>('PaymentCodingDetail_Sept-May'!C11*9)+PaymentCodingDetail_June!C11-PaymentCodingTotal!C11</f>
        <v>0</v>
      </c>
      <c r="D11" s="12">
        <f>('PaymentCodingDetail_Sept-May'!D11*9)+PaymentCodingDetail_June!D11-PaymentCodingTotal!D11</f>
        <v>0</v>
      </c>
      <c r="E11" s="12">
        <f>('PaymentCodingDetail_Sept-May'!E11*9)+PaymentCodingDetail_June!E11-PaymentCodingTotal!E11</f>
        <v>0</v>
      </c>
      <c r="F11" s="22">
        <f>('PaymentCodingDetail_Sept-May'!F11*9)+PaymentCodingDetail_June!F11-PaymentCodingTotal!F11</f>
        <v>0</v>
      </c>
      <c r="G11" s="34">
        <f>('PaymentCodingDetail_Sept-May'!G11*9)+PaymentCodingDetail_June!G11-PaymentCodingTotal!G11</f>
        <v>0</v>
      </c>
      <c r="H11" s="34">
        <f>('PaymentCodingDetail_Sept-May'!H11*9)+PaymentCodingDetail_June!H11-PaymentCodingTotal!H11</f>
        <v>0</v>
      </c>
      <c r="I11" s="12">
        <f>('PaymentCodingDetail_Sept-May'!I11*9)+PaymentCodingDetail_June!I11-PaymentCodingTotal!I11</f>
        <v>0</v>
      </c>
    </row>
    <row r="12" spans="1:11" ht="15.75" thickBot="1" x14ac:dyDescent="0.3">
      <c r="C12" s="13">
        <f>SUM(C3:C11)</f>
        <v>0</v>
      </c>
      <c r="D12" s="13">
        <f t="shared" ref="D12:I12" si="0">SUM(D3:D11)</f>
        <v>0</v>
      </c>
      <c r="E12" s="13">
        <f t="shared" si="0"/>
        <v>0</v>
      </c>
      <c r="F12" s="23">
        <f t="shared" si="0"/>
        <v>0</v>
      </c>
      <c r="G12" s="35">
        <f t="shared" si="0"/>
        <v>0</v>
      </c>
      <c r="H12" s="35">
        <f>SUM(H3:H11)</f>
        <v>0</v>
      </c>
      <c r="I12" s="16">
        <f t="shared" si="0"/>
        <v>0</v>
      </c>
    </row>
    <row r="13" spans="1:11" ht="7.5" customHeight="1" thickTop="1" x14ac:dyDescent="0.25"/>
    <row r="14" spans="1:11" ht="45" x14ac:dyDescent="0.25">
      <c r="A14" s="17" t="str">
        <f t="shared" ref="A14:B23" si="1">A2</f>
        <v>AEA</v>
      </c>
      <c r="B14" s="17" t="str">
        <f t="shared" si="1"/>
        <v>AEA Name</v>
      </c>
      <c r="C14" s="21" t="str">
        <f>Data_Detail[[#Headers],[State Aid Portion Sharing Operations]]</f>
        <v>State Aid Portion Sharing Operations</v>
      </c>
      <c r="D14" s="33" t="str">
        <f>Data_Detail[[#Headers],[Sharing Operations Property Tax]]</f>
        <v>Sharing Operations Property Tax</v>
      </c>
      <c r="E14" s="33" t="str">
        <f>Data_Detail[[#Headers],[Total AEA Sharing Operations]]</f>
        <v>Total AEA Sharing Operations</v>
      </c>
      <c r="F14" s="21" t="str">
        <f>Data_Detail[[#Headers],[AEA Teacher Salary Supplement District Cost]]</f>
        <v>AEA Teacher Salary Supplement District Cost</v>
      </c>
      <c r="G14" s="21" t="str">
        <f>Data_Detail[[#Headers],[AEA Professional Development Supplement District Cost]]</f>
        <v>AEA Professional Development Supplement District Cost</v>
      </c>
    </row>
    <row r="15" spans="1:11" x14ac:dyDescent="0.25">
      <c r="A15" s="11" t="str">
        <f t="shared" si="1"/>
        <v>01</v>
      </c>
      <c r="B15" s="11" t="str">
        <f t="shared" si="1"/>
        <v>Keystone AEA 1</v>
      </c>
      <c r="C15" s="22">
        <f>('PaymentCodingDetail_Sept-May'!C15*9)+PaymentCodingDetail_June!C15-PaymentCodingTotal!C15</f>
        <v>0</v>
      </c>
      <c r="D15" s="34">
        <f>('PaymentCodingDetail_Sept-May'!D15*9)+PaymentCodingDetail_June!D15-PaymentCodingTotal!D15</f>
        <v>0</v>
      </c>
      <c r="E15" s="34">
        <f>('PaymentCodingDetail_Sept-May'!E15*9)+PaymentCodingDetail_June!E15-PaymentCodingTotal!E15</f>
        <v>0</v>
      </c>
      <c r="F15" s="22">
        <f>('PaymentCodingDetail_Sept-May'!F15*9)+PaymentCodingDetail_June!F15-PaymentCodingTotal!F15</f>
        <v>0</v>
      </c>
      <c r="G15" s="22">
        <f>('PaymentCodingDetail_Sept-May'!G15*9)+PaymentCodingDetail_June!G15-PaymentCodingTotal!G15</f>
        <v>0</v>
      </c>
    </row>
    <row r="16" spans="1:11" x14ac:dyDescent="0.25">
      <c r="A16" s="11" t="str">
        <f t="shared" si="1"/>
        <v>05</v>
      </c>
      <c r="B16" s="11" t="str">
        <f t="shared" si="1"/>
        <v>Prairie Lakes AEA 8</v>
      </c>
      <c r="C16" s="22">
        <f>('PaymentCodingDetail_Sept-May'!C16*9)+PaymentCodingDetail_June!C16-PaymentCodingTotal!C16</f>
        <v>0</v>
      </c>
      <c r="D16" s="34">
        <f>('PaymentCodingDetail_Sept-May'!D16*9)+PaymentCodingDetail_June!D16-PaymentCodingTotal!D16</f>
        <v>0</v>
      </c>
      <c r="E16" s="34">
        <f>('PaymentCodingDetail_Sept-May'!E16*9)+PaymentCodingDetail_June!E16-PaymentCodingTotal!E16</f>
        <v>0</v>
      </c>
      <c r="F16" s="22">
        <f>('PaymentCodingDetail_Sept-May'!F16*9)+PaymentCodingDetail_June!F16-PaymentCodingTotal!F16</f>
        <v>0</v>
      </c>
      <c r="G16" s="22">
        <f>('PaymentCodingDetail_Sept-May'!G16*9)+PaymentCodingDetail_June!G16-PaymentCodingTotal!G16</f>
        <v>0</v>
      </c>
      <c r="H16" s="65" t="s">
        <v>79</v>
      </c>
    </row>
    <row r="17" spans="1:12" x14ac:dyDescent="0.25">
      <c r="A17" s="11" t="str">
        <f t="shared" si="1"/>
        <v>07</v>
      </c>
      <c r="B17" s="11" t="str">
        <f t="shared" si="1"/>
        <v>Central Rivers</v>
      </c>
      <c r="C17" s="22">
        <f>('PaymentCodingDetail_Sept-May'!C17*9)+PaymentCodingDetail_June!C17-PaymentCodingTotal!C17</f>
        <v>0</v>
      </c>
      <c r="D17" s="34">
        <f>('PaymentCodingDetail_Sept-May'!D17*9)+PaymentCodingDetail_June!D17-PaymentCodingTotal!D17</f>
        <v>0</v>
      </c>
      <c r="E17" s="34">
        <f>('PaymentCodingDetail_Sept-May'!E17*9)+PaymentCodingDetail_June!E17-PaymentCodingTotal!E17</f>
        <v>0</v>
      </c>
      <c r="F17" s="22">
        <f>('PaymentCodingDetail_Sept-May'!F17*9)+PaymentCodingDetail_June!F17-PaymentCodingTotal!F17</f>
        <v>0</v>
      </c>
      <c r="G17" s="22">
        <f>('PaymentCodingDetail_Sept-May'!G17*9)+PaymentCodingDetail_June!G17-PaymentCodingTotal!G17</f>
        <v>0</v>
      </c>
      <c r="H17" s="65"/>
    </row>
    <row r="18" spans="1:12" x14ac:dyDescent="0.25">
      <c r="A18" s="11" t="str">
        <f t="shared" si="1"/>
        <v>09</v>
      </c>
      <c r="B18" s="11" t="str">
        <f t="shared" si="1"/>
        <v>Mississippi Bend AEA 9</v>
      </c>
      <c r="C18" s="22">
        <f>('PaymentCodingDetail_Sept-May'!C18*9)+PaymentCodingDetail_June!C18-PaymentCodingTotal!C18</f>
        <v>0</v>
      </c>
      <c r="D18" s="34">
        <f>('PaymentCodingDetail_Sept-May'!D18*9)+PaymentCodingDetail_June!D18-PaymentCodingTotal!D18</f>
        <v>0</v>
      </c>
      <c r="E18" s="34">
        <f>('PaymentCodingDetail_Sept-May'!E18*9)+PaymentCodingDetail_June!E18-PaymentCodingTotal!E18</f>
        <v>0</v>
      </c>
      <c r="F18" s="22">
        <f>('PaymentCodingDetail_Sept-May'!F18*9)+PaymentCodingDetail_June!F18-PaymentCodingTotal!F18</f>
        <v>0</v>
      </c>
      <c r="G18" s="22">
        <f>('PaymentCodingDetail_Sept-May'!G18*9)+PaymentCodingDetail_June!G18-PaymentCodingTotal!G18</f>
        <v>0</v>
      </c>
      <c r="H18" s="66" t="s">
        <v>731</v>
      </c>
    </row>
    <row r="19" spans="1:12" x14ac:dyDescent="0.25">
      <c r="A19" s="11" t="str">
        <f t="shared" si="1"/>
        <v>10</v>
      </c>
      <c r="B19" s="11" t="str">
        <f t="shared" si="1"/>
        <v>Grant Wood AEA 10</v>
      </c>
      <c r="C19" s="22">
        <f>('PaymentCodingDetail_Sept-May'!C19*9)+PaymentCodingDetail_June!C19-PaymentCodingTotal!C19</f>
        <v>0</v>
      </c>
      <c r="D19" s="34">
        <f>('PaymentCodingDetail_Sept-May'!D19*9)+PaymentCodingDetail_June!D19-PaymentCodingTotal!D19</f>
        <v>0</v>
      </c>
      <c r="E19" s="34">
        <f>('PaymentCodingDetail_Sept-May'!E19*9)+PaymentCodingDetail_June!E19-PaymentCodingTotal!E19</f>
        <v>0</v>
      </c>
      <c r="F19" s="22">
        <f>('PaymentCodingDetail_Sept-May'!F19*9)+PaymentCodingDetail_June!F19-PaymentCodingTotal!F19</f>
        <v>0</v>
      </c>
      <c r="G19" s="22">
        <f>('PaymentCodingDetail_Sept-May'!G19*9)+PaymentCodingDetail_June!G19-PaymentCodingTotal!G19</f>
        <v>0</v>
      </c>
      <c r="H19" s="66"/>
    </row>
    <row r="20" spans="1:12" x14ac:dyDescent="0.25">
      <c r="A20" s="11" t="str">
        <f t="shared" si="1"/>
        <v>11</v>
      </c>
      <c r="B20" s="11" t="str">
        <f t="shared" si="1"/>
        <v>Heartland AEA 11</v>
      </c>
      <c r="C20" s="22">
        <f>('PaymentCodingDetail_Sept-May'!C20*9)+PaymentCodingDetail_June!C20-PaymentCodingTotal!C20</f>
        <v>0</v>
      </c>
      <c r="D20" s="34">
        <f>('PaymentCodingDetail_Sept-May'!D20*9)+PaymentCodingDetail_June!D20-PaymentCodingTotal!D20</f>
        <v>0</v>
      </c>
      <c r="E20" s="34">
        <f>('PaymentCodingDetail_Sept-May'!E20*9)+PaymentCodingDetail_June!E20-PaymentCodingTotal!E20</f>
        <v>0</v>
      </c>
      <c r="F20" s="22">
        <f>('PaymentCodingDetail_Sept-May'!F20*9)+PaymentCodingDetail_June!F20-PaymentCodingTotal!F20</f>
        <v>0</v>
      </c>
      <c r="G20" s="22">
        <f>('PaymentCodingDetail_Sept-May'!G20*9)+PaymentCodingDetail_June!G20-PaymentCodingTotal!G20</f>
        <v>0</v>
      </c>
    </row>
    <row r="21" spans="1:12" x14ac:dyDescent="0.25">
      <c r="A21" s="11" t="str">
        <f t="shared" si="1"/>
        <v>12</v>
      </c>
      <c r="B21" s="11" t="str">
        <f t="shared" si="1"/>
        <v>Northwest AEA</v>
      </c>
      <c r="C21" s="22">
        <f>('PaymentCodingDetail_Sept-May'!C21*9)+PaymentCodingDetail_June!C21-PaymentCodingTotal!C21</f>
        <v>0</v>
      </c>
      <c r="D21" s="34">
        <f>('PaymentCodingDetail_Sept-May'!D21*9)+PaymentCodingDetail_June!D21-PaymentCodingTotal!D21</f>
        <v>0</v>
      </c>
      <c r="E21" s="34">
        <f>('PaymentCodingDetail_Sept-May'!E21*9)+PaymentCodingDetail_June!E21-PaymentCodingTotal!E21</f>
        <v>0</v>
      </c>
      <c r="F21" s="22">
        <f>('PaymentCodingDetail_Sept-May'!F21*9)+PaymentCodingDetail_June!F21-PaymentCodingTotal!F21</f>
        <v>0</v>
      </c>
      <c r="G21" s="22">
        <f>('PaymentCodingDetail_Sept-May'!G21*9)+PaymentCodingDetail_June!G21-PaymentCodingTotal!G21</f>
        <v>0</v>
      </c>
    </row>
    <row r="22" spans="1:12" x14ac:dyDescent="0.25">
      <c r="A22" s="11" t="str">
        <f t="shared" si="1"/>
        <v>13</v>
      </c>
      <c r="B22" s="11" t="str">
        <f t="shared" si="1"/>
        <v>Green Hills AEA 13</v>
      </c>
      <c r="C22" s="22">
        <f>('PaymentCodingDetail_Sept-May'!C22*9)+PaymentCodingDetail_June!C22-PaymentCodingTotal!C22</f>
        <v>0</v>
      </c>
      <c r="D22" s="34">
        <f>('PaymentCodingDetail_Sept-May'!D22*9)+PaymentCodingDetail_June!D22-PaymentCodingTotal!D22</f>
        <v>0</v>
      </c>
      <c r="E22" s="34">
        <f>('PaymentCodingDetail_Sept-May'!E22*9)+PaymentCodingDetail_June!E22-PaymentCodingTotal!E22</f>
        <v>0</v>
      </c>
      <c r="F22" s="22">
        <f>('PaymentCodingDetail_Sept-May'!F22*9)+PaymentCodingDetail_June!F22-PaymentCodingTotal!F22</f>
        <v>0</v>
      </c>
      <c r="G22" s="22">
        <f>('PaymentCodingDetail_Sept-May'!G22*9)+PaymentCodingDetail_June!G22-PaymentCodingTotal!G22</f>
        <v>0</v>
      </c>
    </row>
    <row r="23" spans="1:12" x14ac:dyDescent="0.25">
      <c r="A23" s="11" t="str">
        <f t="shared" si="1"/>
        <v>15</v>
      </c>
      <c r="B23" s="11" t="str">
        <f t="shared" si="1"/>
        <v>Great Prairie AEA 15</v>
      </c>
      <c r="C23" s="22">
        <f>('PaymentCodingDetail_Sept-May'!C23*9)+PaymentCodingDetail_June!C23-PaymentCodingTotal!C23</f>
        <v>0</v>
      </c>
      <c r="D23" s="34">
        <f>('PaymentCodingDetail_Sept-May'!D23*9)+PaymentCodingDetail_June!D23-PaymentCodingTotal!D23</f>
        <v>0</v>
      </c>
      <c r="E23" s="34">
        <f>('PaymentCodingDetail_Sept-May'!E23*9)+PaymentCodingDetail_June!E23-PaymentCodingTotal!E23</f>
        <v>0</v>
      </c>
      <c r="F23" s="22">
        <f>('PaymentCodingDetail_Sept-May'!F23*9)+PaymentCodingDetail_June!F23-PaymentCodingTotal!F23</f>
        <v>0</v>
      </c>
      <c r="G23" s="22">
        <f>('PaymentCodingDetail_Sept-May'!G23*9)+PaymentCodingDetail_June!G23-PaymentCodingTotal!G23</f>
        <v>0</v>
      </c>
    </row>
    <row r="24" spans="1:12" ht="15.75" thickBot="1" x14ac:dyDescent="0.3">
      <c r="C24" s="14">
        <f>SUM(C15:C23)</f>
        <v>0</v>
      </c>
      <c r="D24" s="35">
        <f>SUM(D15:D23)</f>
        <v>0</v>
      </c>
      <c r="E24" s="36">
        <f>SUM(E15:E23)</f>
        <v>0</v>
      </c>
      <c r="F24" s="23">
        <f>SUM(F15:F23)</f>
        <v>0</v>
      </c>
      <c r="G24" s="23">
        <f>SUM(G15:G23)</f>
        <v>0</v>
      </c>
    </row>
    <row r="25" spans="1:12" ht="7.5" customHeight="1" thickTop="1" x14ac:dyDescent="0.25">
      <c r="F25" s="6"/>
      <c r="G25" s="6"/>
      <c r="H25" s="6"/>
    </row>
    <row r="26" spans="1:12" ht="30" x14ac:dyDescent="0.25">
      <c r="A26" s="17" t="str">
        <f t="shared" ref="A26:B35" si="2">A14</f>
        <v>AEA</v>
      </c>
      <c r="B26" s="17" t="str">
        <f t="shared" si="2"/>
        <v>AEA Name</v>
      </c>
      <c r="C26" s="33" t="str">
        <f>Data_Detail[[#Headers],[AEA Media Services District Cost]]</f>
        <v>AEA Media Services District Cost</v>
      </c>
      <c r="D26" s="33" t="str">
        <f>Data_Detail[[#Headers],[AEA Ed Services District Cost]]</f>
        <v>AEA Ed Services District Cost</v>
      </c>
      <c r="E26" s="8" t="str">
        <f>Data_Detail[[#Headers],[Total Budget]]</f>
        <v>Total Budget</v>
      </c>
      <c r="F26" s="21" t="str">
        <f>Data_Detail[[#Headers],[State Aid Portion]]</f>
        <v>State Aid Portion</v>
      </c>
      <c r="G26" s="33" t="str">
        <f>Data_Detail[[#Headers],[Property Tax Portion]]</f>
        <v>Property Tax Portion</v>
      </c>
      <c r="H26" t="s">
        <v>78</v>
      </c>
      <c r="I26" t="s">
        <v>79</v>
      </c>
      <c r="J26" t="s">
        <v>80</v>
      </c>
    </row>
    <row r="27" spans="1:12" x14ac:dyDescent="0.25">
      <c r="A27" s="11" t="str">
        <f t="shared" si="2"/>
        <v>01</v>
      </c>
      <c r="B27" s="11" t="str">
        <f t="shared" si="2"/>
        <v>Keystone AEA 1</v>
      </c>
      <c r="C27" s="34">
        <f>('PaymentCodingDetail_Sept-May'!C27*9)+PaymentCodingDetail_June!C27-PaymentCodingTotal!C27</f>
        <v>0</v>
      </c>
      <c r="D27" s="34">
        <f>('PaymentCodingDetail_Sept-May'!D27*9)+PaymentCodingDetail_June!D27-PaymentCodingTotal!D27</f>
        <v>0</v>
      </c>
      <c r="E27" s="12">
        <f>('PaymentCodingDetail_Sept-May'!E27*9)+PaymentCodingDetail_June!E27-PaymentCodingTotal!E27</f>
        <v>0</v>
      </c>
      <c r="F27" s="22">
        <f>('PaymentCodingDetail_Sept-May'!F27*9)+PaymentCodingDetail_June!F27-PaymentCodingTotal!F27</f>
        <v>0</v>
      </c>
      <c r="G27" s="34">
        <f>('PaymentCodingDetail_Sept-May'!G27*9)+PaymentCodingDetail_June!G27-PaymentCodingTotal!G27</f>
        <v>0</v>
      </c>
      <c r="H27" s="6">
        <f>E27-D27-C27-G15-F15-E15-H3-G3-F3</f>
        <v>0</v>
      </c>
      <c r="I27" s="6">
        <f>F27-G15-F15-C15-F3</f>
        <v>0</v>
      </c>
      <c r="J27" s="6">
        <f>G27-D27-C27-D15-H3-G3</f>
        <v>0</v>
      </c>
      <c r="K27" s="6">
        <f>F27*9</f>
        <v>0</v>
      </c>
      <c r="L27" s="6">
        <f>G27*9</f>
        <v>0</v>
      </c>
    </row>
    <row r="28" spans="1:12" x14ac:dyDescent="0.25">
      <c r="A28" s="11" t="str">
        <f t="shared" si="2"/>
        <v>05</v>
      </c>
      <c r="B28" s="11" t="str">
        <f t="shared" si="2"/>
        <v>Prairie Lakes AEA 8</v>
      </c>
      <c r="C28" s="34">
        <f>('PaymentCodingDetail_Sept-May'!C28*9)+PaymentCodingDetail_June!C28-PaymentCodingTotal!C28</f>
        <v>0</v>
      </c>
      <c r="D28" s="34">
        <f>('PaymentCodingDetail_Sept-May'!D28*9)+PaymentCodingDetail_June!D28-PaymentCodingTotal!D28</f>
        <v>0</v>
      </c>
      <c r="E28" s="12">
        <f>('PaymentCodingDetail_Sept-May'!E28*9)+PaymentCodingDetail_June!E28-PaymentCodingTotal!E28</f>
        <v>0</v>
      </c>
      <c r="F28" s="22">
        <f>('PaymentCodingDetail_Sept-May'!F28*9)+PaymentCodingDetail_June!F28-PaymentCodingTotal!F28</f>
        <v>0</v>
      </c>
      <c r="G28" s="34">
        <f>('PaymentCodingDetail_Sept-May'!G28*9)+PaymentCodingDetail_June!G28-PaymentCodingTotal!G28</f>
        <v>0</v>
      </c>
      <c r="H28" s="6">
        <f t="shared" ref="H28:H36" si="3">E28-D28-C28-G16-F16-E16-H4-G4-F4</f>
        <v>0</v>
      </c>
      <c r="I28" s="6">
        <f t="shared" ref="I28:I36" si="4">F28-G16-F16-C16-F4</f>
        <v>0</v>
      </c>
      <c r="J28" s="6">
        <f t="shared" ref="J28:J36" si="5">G28-D28-C28-D16-H4-G4</f>
        <v>0</v>
      </c>
      <c r="K28" s="6">
        <f t="shared" ref="K28:L35" si="6">F28*9</f>
        <v>0</v>
      </c>
      <c r="L28" s="6">
        <f t="shared" si="6"/>
        <v>0</v>
      </c>
    </row>
    <row r="29" spans="1:12" x14ac:dyDescent="0.25">
      <c r="A29" s="11" t="str">
        <f t="shared" si="2"/>
        <v>07</v>
      </c>
      <c r="B29" s="11" t="str">
        <f t="shared" si="2"/>
        <v>Central Rivers</v>
      </c>
      <c r="C29" s="34">
        <f>('PaymentCodingDetail_Sept-May'!C29*9)+PaymentCodingDetail_June!C29-PaymentCodingTotal!C29</f>
        <v>0</v>
      </c>
      <c r="D29" s="34">
        <f>('PaymentCodingDetail_Sept-May'!D29*9)+PaymentCodingDetail_June!D29-PaymentCodingTotal!D29</f>
        <v>0</v>
      </c>
      <c r="E29" s="12">
        <f>('PaymentCodingDetail_Sept-May'!E29*9)+PaymentCodingDetail_June!E29-PaymentCodingTotal!E29</f>
        <v>0</v>
      </c>
      <c r="F29" s="22">
        <f>('PaymentCodingDetail_Sept-May'!F29*9)+PaymentCodingDetail_June!F29-PaymentCodingTotal!F29</f>
        <v>0</v>
      </c>
      <c r="G29" s="34">
        <f>('PaymentCodingDetail_Sept-May'!G29*9)+PaymentCodingDetail_June!G29-PaymentCodingTotal!G29</f>
        <v>0</v>
      </c>
      <c r="H29" s="6">
        <f t="shared" si="3"/>
        <v>0</v>
      </c>
      <c r="I29" s="6">
        <f t="shared" si="4"/>
        <v>0</v>
      </c>
      <c r="J29" s="6">
        <f t="shared" si="5"/>
        <v>0</v>
      </c>
      <c r="K29" s="6">
        <f t="shared" si="6"/>
        <v>0</v>
      </c>
      <c r="L29" s="6">
        <f t="shared" si="6"/>
        <v>0</v>
      </c>
    </row>
    <row r="30" spans="1:12" x14ac:dyDescent="0.25">
      <c r="A30" s="11" t="str">
        <f t="shared" si="2"/>
        <v>09</v>
      </c>
      <c r="B30" s="11" t="str">
        <f t="shared" si="2"/>
        <v>Mississippi Bend AEA 9</v>
      </c>
      <c r="C30" s="34">
        <f>('PaymentCodingDetail_Sept-May'!C30*9)+PaymentCodingDetail_June!C30-PaymentCodingTotal!C30</f>
        <v>0</v>
      </c>
      <c r="D30" s="34">
        <f>('PaymentCodingDetail_Sept-May'!D30*9)+PaymentCodingDetail_June!D30-PaymentCodingTotal!D30</f>
        <v>0</v>
      </c>
      <c r="E30" s="12">
        <f>('PaymentCodingDetail_Sept-May'!E30*9)+PaymentCodingDetail_June!E30-PaymentCodingTotal!E30</f>
        <v>0</v>
      </c>
      <c r="F30" s="22">
        <f>('PaymentCodingDetail_Sept-May'!F30*9)+PaymentCodingDetail_June!F30-PaymentCodingTotal!F30</f>
        <v>0</v>
      </c>
      <c r="G30" s="34">
        <f>('PaymentCodingDetail_Sept-May'!G30*9)+PaymentCodingDetail_June!G30-PaymentCodingTotal!G30</f>
        <v>0</v>
      </c>
      <c r="H30" s="6">
        <f t="shared" si="3"/>
        <v>0</v>
      </c>
      <c r="I30" s="6">
        <f t="shared" si="4"/>
        <v>0</v>
      </c>
      <c r="J30" s="6">
        <f t="shared" si="5"/>
        <v>0</v>
      </c>
      <c r="K30" s="6">
        <f t="shared" si="6"/>
        <v>0</v>
      </c>
      <c r="L30" s="6">
        <f t="shared" si="6"/>
        <v>0</v>
      </c>
    </row>
    <row r="31" spans="1:12" x14ac:dyDescent="0.25">
      <c r="A31" s="11" t="str">
        <f t="shared" si="2"/>
        <v>10</v>
      </c>
      <c r="B31" s="11" t="str">
        <f t="shared" si="2"/>
        <v>Grant Wood AEA 10</v>
      </c>
      <c r="C31" s="34">
        <f>('PaymentCodingDetail_Sept-May'!C31*9)+PaymentCodingDetail_June!C31-PaymentCodingTotal!C31</f>
        <v>0</v>
      </c>
      <c r="D31" s="34">
        <f>('PaymentCodingDetail_Sept-May'!D31*9)+PaymentCodingDetail_June!D31-PaymentCodingTotal!D31</f>
        <v>0</v>
      </c>
      <c r="E31" s="12">
        <f>('PaymentCodingDetail_Sept-May'!E31*9)+PaymentCodingDetail_June!E31-PaymentCodingTotal!E31</f>
        <v>0</v>
      </c>
      <c r="F31" s="22">
        <f>('PaymentCodingDetail_Sept-May'!F31*9)+PaymentCodingDetail_June!F31-PaymentCodingTotal!F31</f>
        <v>0</v>
      </c>
      <c r="G31" s="34">
        <f>('PaymentCodingDetail_Sept-May'!G31*9)+PaymentCodingDetail_June!G31-PaymentCodingTotal!G31</f>
        <v>0</v>
      </c>
      <c r="H31" s="6">
        <f t="shared" si="3"/>
        <v>0</v>
      </c>
      <c r="I31" s="6">
        <f t="shared" si="4"/>
        <v>0</v>
      </c>
      <c r="J31" s="6">
        <f t="shared" si="5"/>
        <v>0</v>
      </c>
      <c r="K31" s="6">
        <f t="shared" si="6"/>
        <v>0</v>
      </c>
      <c r="L31" s="6">
        <f t="shared" si="6"/>
        <v>0</v>
      </c>
    </row>
    <row r="32" spans="1:12" x14ac:dyDescent="0.25">
      <c r="A32" s="11" t="str">
        <f t="shared" si="2"/>
        <v>11</v>
      </c>
      <c r="B32" s="11" t="str">
        <f t="shared" si="2"/>
        <v>Heartland AEA 11</v>
      </c>
      <c r="C32" s="34">
        <f>('PaymentCodingDetail_Sept-May'!C32*9)+PaymentCodingDetail_June!C32-PaymentCodingTotal!C32</f>
        <v>0</v>
      </c>
      <c r="D32" s="34">
        <f>('PaymentCodingDetail_Sept-May'!D32*9)+PaymentCodingDetail_June!D32-PaymentCodingTotal!D32</f>
        <v>0</v>
      </c>
      <c r="E32" s="12">
        <f>('PaymentCodingDetail_Sept-May'!E32*9)+PaymentCodingDetail_June!E32-PaymentCodingTotal!E32</f>
        <v>0</v>
      </c>
      <c r="F32" s="22">
        <f>('PaymentCodingDetail_Sept-May'!F32*9)+PaymentCodingDetail_June!F32-PaymentCodingTotal!F32</f>
        <v>0</v>
      </c>
      <c r="G32" s="34">
        <f>('PaymentCodingDetail_Sept-May'!G32*9)+PaymentCodingDetail_June!G32-PaymentCodingTotal!G32</f>
        <v>0</v>
      </c>
      <c r="H32" s="6">
        <f t="shared" si="3"/>
        <v>0</v>
      </c>
      <c r="I32" s="6">
        <f t="shared" si="4"/>
        <v>0</v>
      </c>
      <c r="J32" s="6">
        <f t="shared" si="5"/>
        <v>0</v>
      </c>
      <c r="K32" s="6">
        <f t="shared" si="6"/>
        <v>0</v>
      </c>
      <c r="L32" s="6">
        <f t="shared" si="6"/>
        <v>0</v>
      </c>
    </row>
    <row r="33" spans="1:12" x14ac:dyDescent="0.25">
      <c r="A33" s="11" t="str">
        <f t="shared" si="2"/>
        <v>12</v>
      </c>
      <c r="B33" s="11" t="str">
        <f t="shared" si="2"/>
        <v>Northwest AEA</v>
      </c>
      <c r="C33" s="34">
        <f>('PaymentCodingDetail_Sept-May'!C33*9)+PaymentCodingDetail_June!C33-PaymentCodingTotal!C33</f>
        <v>0</v>
      </c>
      <c r="D33" s="34">
        <f>('PaymentCodingDetail_Sept-May'!D33*9)+PaymentCodingDetail_June!D33-PaymentCodingTotal!D33</f>
        <v>0</v>
      </c>
      <c r="E33" s="12">
        <f>('PaymentCodingDetail_Sept-May'!E33*9)+PaymentCodingDetail_June!E33-PaymentCodingTotal!E33</f>
        <v>0</v>
      </c>
      <c r="F33" s="22">
        <f>('PaymentCodingDetail_Sept-May'!F33*9)+PaymentCodingDetail_June!F33-PaymentCodingTotal!F33</f>
        <v>0</v>
      </c>
      <c r="G33" s="34">
        <f>('PaymentCodingDetail_Sept-May'!G33*9)+PaymentCodingDetail_June!G33-PaymentCodingTotal!G33</f>
        <v>0</v>
      </c>
      <c r="H33" s="6">
        <f t="shared" si="3"/>
        <v>0</v>
      </c>
      <c r="I33" s="6">
        <f t="shared" si="4"/>
        <v>0</v>
      </c>
      <c r="J33" s="6">
        <f t="shared" si="5"/>
        <v>0</v>
      </c>
      <c r="K33" s="6">
        <f t="shared" si="6"/>
        <v>0</v>
      </c>
      <c r="L33" s="6">
        <f t="shared" si="6"/>
        <v>0</v>
      </c>
    </row>
    <row r="34" spans="1:12" x14ac:dyDescent="0.25">
      <c r="A34" s="11" t="str">
        <f t="shared" si="2"/>
        <v>13</v>
      </c>
      <c r="B34" s="11" t="str">
        <f t="shared" si="2"/>
        <v>Green Hills AEA 13</v>
      </c>
      <c r="C34" s="34">
        <f>('PaymentCodingDetail_Sept-May'!C34*9)+PaymentCodingDetail_June!C34-PaymentCodingTotal!C34</f>
        <v>0</v>
      </c>
      <c r="D34" s="34">
        <f>('PaymentCodingDetail_Sept-May'!D34*9)+PaymentCodingDetail_June!D34-PaymentCodingTotal!D34</f>
        <v>0</v>
      </c>
      <c r="E34" s="12">
        <f>('PaymentCodingDetail_Sept-May'!E34*9)+PaymentCodingDetail_June!E34-PaymentCodingTotal!E34</f>
        <v>0</v>
      </c>
      <c r="F34" s="22">
        <f>('PaymentCodingDetail_Sept-May'!F34*9)+PaymentCodingDetail_June!F34-PaymentCodingTotal!F34</f>
        <v>0</v>
      </c>
      <c r="G34" s="34">
        <f>('PaymentCodingDetail_Sept-May'!G34*9)+PaymentCodingDetail_June!G34-PaymentCodingTotal!G34</f>
        <v>0</v>
      </c>
      <c r="H34" s="6">
        <f t="shared" si="3"/>
        <v>0</v>
      </c>
      <c r="I34" s="6">
        <f t="shared" si="4"/>
        <v>0</v>
      </c>
      <c r="J34" s="6">
        <f t="shared" si="5"/>
        <v>0</v>
      </c>
      <c r="K34" s="6">
        <f t="shared" si="6"/>
        <v>0</v>
      </c>
      <c r="L34" s="6">
        <f t="shared" si="6"/>
        <v>0</v>
      </c>
    </row>
    <row r="35" spans="1:12" x14ac:dyDescent="0.25">
      <c r="A35" s="11" t="str">
        <f t="shared" si="2"/>
        <v>15</v>
      </c>
      <c r="B35" s="11" t="str">
        <f t="shared" si="2"/>
        <v>Great Prairie AEA 15</v>
      </c>
      <c r="C35" s="34">
        <f>('PaymentCodingDetail_Sept-May'!C35*9)+PaymentCodingDetail_June!C35-PaymentCodingTotal!C35</f>
        <v>0</v>
      </c>
      <c r="D35" s="34">
        <f>('PaymentCodingDetail_Sept-May'!D35*9)+PaymentCodingDetail_June!D35-PaymentCodingTotal!D35</f>
        <v>0</v>
      </c>
      <c r="E35" s="12">
        <f>('PaymentCodingDetail_Sept-May'!E35*9)+PaymentCodingDetail_June!E35-PaymentCodingTotal!E35</f>
        <v>0</v>
      </c>
      <c r="F35" s="22">
        <f>('PaymentCodingDetail_Sept-May'!F35*9)+PaymentCodingDetail_June!F35-PaymentCodingTotal!F35</f>
        <v>0</v>
      </c>
      <c r="G35" s="34">
        <f>('PaymentCodingDetail_Sept-May'!G35*9)+PaymentCodingDetail_June!G35-PaymentCodingTotal!G35</f>
        <v>0</v>
      </c>
      <c r="H35" s="6">
        <f t="shared" si="3"/>
        <v>0</v>
      </c>
      <c r="I35" s="6">
        <f t="shared" si="4"/>
        <v>0</v>
      </c>
      <c r="J35" s="6">
        <f t="shared" si="5"/>
        <v>0</v>
      </c>
      <c r="K35" s="6">
        <f t="shared" si="6"/>
        <v>0</v>
      </c>
      <c r="L35" s="6">
        <f t="shared" si="6"/>
        <v>0</v>
      </c>
    </row>
    <row r="36" spans="1:12" ht="15.75" thickBot="1" x14ac:dyDescent="0.3">
      <c r="C36" s="35">
        <f t="shared" ref="C36:E36" si="7">SUM(C27:C35)</f>
        <v>0</v>
      </c>
      <c r="D36" s="35">
        <f t="shared" si="7"/>
        <v>0</v>
      </c>
      <c r="E36" s="16">
        <f t="shared" si="7"/>
        <v>0</v>
      </c>
      <c r="F36" s="22">
        <f>SUM(F27:F35)</f>
        <v>0</v>
      </c>
      <c r="G36" s="34">
        <f>SUM(G27:G35)</f>
        <v>0</v>
      </c>
      <c r="H36" s="6">
        <f t="shared" si="3"/>
        <v>0</v>
      </c>
      <c r="I36" s="6">
        <f t="shared" si="4"/>
        <v>0</v>
      </c>
      <c r="J36" s="6">
        <f t="shared" si="5"/>
        <v>0</v>
      </c>
      <c r="K36" s="6">
        <f>SUM(K27:K35)</f>
        <v>0</v>
      </c>
      <c r="L36" s="6">
        <f>SUM(L27:L35)</f>
        <v>0</v>
      </c>
    </row>
    <row r="37" spans="1:12" ht="15.75" thickTop="1" x14ac:dyDescent="0.25"/>
    <row r="39" spans="1:12" x14ac:dyDescent="0.25">
      <c r="H39" s="6"/>
    </row>
  </sheetData>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44A1-1AF5-4A04-8693-EAE87F2A146B}">
  <sheetPr>
    <tabColor theme="6" tint="-0.249977111117893"/>
    <pageSetUpPr fitToPage="1"/>
  </sheetPr>
  <dimension ref="A1:M39"/>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hidden="1" customWidth="1"/>
    <col min="12" max="12" width="38" hidden="1" customWidth="1"/>
    <col min="13" max="13" width="36.85546875" hidden="1" customWidth="1"/>
    <col min="14" max="14" width="0" hidden="1" customWidth="1"/>
  </cols>
  <sheetData>
    <row r="1" spans="1:11" ht="45" customHeight="1" x14ac:dyDescent="0.25">
      <c r="A1" s="64" t="str">
        <f>_xlfn.CONCAT("FY ",K2," AEA Enrollments and Cost - Final - State Aid and Property Tax Breakdown - September thru May Payment")</f>
        <v>FY 2025 AEA Enrollments and Cost - Final - State Aid and Property Tax Breakdown - September thru May Payment</v>
      </c>
      <c r="B1" s="64"/>
      <c r="C1" s="64"/>
      <c r="D1" s="64"/>
      <c r="E1" s="64"/>
      <c r="F1" s="64"/>
      <c r="G1" s="64"/>
      <c r="H1" s="64"/>
      <c r="I1" s="64"/>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1"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2025</v>
      </c>
    </row>
    <row r="3" spans="1:11" x14ac:dyDescent="0.25">
      <c r="A3" s="18" t="str">
        <f>Data!A2</f>
        <v>01</v>
      </c>
      <c r="B3" s="11" t="str">
        <f>INDEX(Data_Detail[],MATCH('PaymentCodingDetail_Sept-May'!$A3,Data_Detail[AEA],0),3)</f>
        <v>Keystone AEA 1</v>
      </c>
      <c r="C3" s="12">
        <f>ROUND(SUMIFS(INDEX(Data_Detail[],0,MATCH(C$2,Data_Detail[#Headers],0)),Data_Detail[AEA],$A3,Data_Detail[FiscalYear],$K$2)/SUMIFS(INDEX(Data_Detail[],0,MATCH($E$26,Data_Detail[#Headers],0)),Data_Detail[AEA],$A3,Data_Detail[FiscalYear],$K$2)*
INDEX(Data[],MATCH($A3,Data[AEA],0),MATCH("Pay1 - Sept - May",Data[#Headers],0)),0)</f>
        <v>1147739</v>
      </c>
      <c r="D3" s="12">
        <f>ROUND(SUMIFS(INDEX(Data_Detail[],0,MATCH(D$2,Data_Detail[#Headers],0)),Data_Detail[AEA],$A3,Data_Detail[FiscalYear],$K$2)/SUMIFS(INDEX(Data_Detail[],0,MATCH($E$26,Data_Detail[#Headers],0)),Data_Detail[AEA],$A3,Data_Detail[FiscalYear],$K$2)*
INDEX(Data[],MATCH($A3,Data[AEA],0),MATCH("Pay1 - Sept - May",Data[#Headers],0)),0)+1</f>
        <v>869305</v>
      </c>
      <c r="E3" s="12">
        <f>ROUND(SUMIFS(INDEX(Data_Detail[],0,MATCH(E$2,Data_Detail[#Headers],0)),Data_Detail[AEA],$A3,Data_Detail[FiscalYear],$K$2)/SUMIFS(INDEX(Data_Detail[],0,MATCH($E$26,Data_Detail[#Headers],0)),Data_Detail[AEA],$A3,Data_Detail[FiscalYear],$K$2)*
INDEX(Data[],MATCH($A3,Data[AEA],0),MATCH("PAY1 - Sept - May",Data[#Headers],0)),0)</f>
        <v>189499</v>
      </c>
      <c r="F3" s="48">
        <f>D3-E3</f>
        <v>679806</v>
      </c>
      <c r="G3" s="19">
        <f>ROUND(SUMIFS(INDEX(Data_Detail[],0,MATCH(G$2,Data_Detail[#Headers],0)),Data_Detail[AEA],$A3,Data_Detail[FiscalYear],$K$2)/SUMIFS(INDEX(Data_Detail[],0,MATCH($E$26,Data_Detail[#Headers],0)),Data_Detail[AEA],$A3,Data_Detail[FiscalYear],$K$2)*
INDEX(Data[],MATCH($A3,Data[AEA],0),MATCH("Pay1 - Sept - May",Data[#Headers],0)),0)</f>
        <v>278435</v>
      </c>
      <c r="H3" s="19">
        <f>ROUND(SUMIFS(INDEX(Data_Detail[],0,MATCH(H$2,Data_Detail[#Headers],0)),Data_Detail[AEA],$A3,Data_Detail[FiscalYear],$K$2)/SUMIFS(INDEX(Data_Detail[],0,MATCH($E$26,Data_Detail[#Headers],0)),Data_Detail[AEA],$A3,Data_Detail[FiscalYear],$K$2)*
INDEX(Data[],MATCH($A3,Data[AEA],0),MATCH("Pay1 - Sept - May",Data[#Headers],0)),0)</f>
        <v>1419</v>
      </c>
      <c r="I3" s="47">
        <f>SUM(F3:H3)</f>
        <v>959660</v>
      </c>
      <c r="K3" s="6">
        <f>G12+D24+H12+C36+D36-G36</f>
        <v>0</v>
      </c>
    </row>
    <row r="4" spans="1:11" x14ac:dyDescent="0.25">
      <c r="A4" s="18" t="str">
        <f>Data!A3</f>
        <v>05</v>
      </c>
      <c r="B4" s="11" t="str">
        <f>INDEX(Data_Detail[],MATCH('PaymentCodingDetail_Sept-May'!$A4,Data_Detail[AEA],0),3)</f>
        <v>Prairie Lakes AEA 8</v>
      </c>
      <c r="C4" s="12">
        <f>ROUND(SUMIFS(INDEX(Data_Detail[],0,MATCH(C$2,Data_Detail[#Headers],0)),Data_Detail[AEA],$A4,Data_Detail[FiscalYear],$K$2)/SUMIFS(INDEX(Data_Detail[],0,MATCH($E$26,Data_Detail[#Headers],0)),Data_Detail[AEA],$A4,Data_Detail[FiscalYear],$K$2)*
INDEX(Data[],MATCH($A4,Data[AEA],0),MATCH("Pay1 - Sept - May",Data[#Headers],0)),0)</f>
        <v>1185490</v>
      </c>
      <c r="D4" s="12">
        <f>ROUND(SUMIFS(INDEX(Data_Detail[],0,MATCH(D$2,Data_Detail[#Headers],0)),Data_Detail[AEA],$A4,Data_Detail[FiscalYear],$K$2)/SUMIFS(INDEX(Data_Detail[],0,MATCH($E$26,Data_Detail[#Headers],0)),Data_Detail[AEA],$A4,Data_Detail[FiscalYear],$K$2)*
INDEX(Data[],MATCH($A4,Data[AEA],0),MATCH("Pay1 - Sept - May",Data[#Headers],0)),0)-1</f>
        <v>908730</v>
      </c>
      <c r="E4" s="12">
        <f>ROUND(SUMIFS(INDEX(Data_Detail[],0,MATCH(E$2,Data_Detail[#Headers],0)),Data_Detail[AEA],$A4,Data_Detail[FiscalYear],$K$2)/SUMIFS(INDEX(Data_Detail[],0,MATCH($E$26,Data_Detail[#Headers],0)),Data_Detail[AEA],$A4,Data_Detail[FiscalYear],$K$2)*
INDEX(Data[],MATCH($A4,Data[AEA],0),MATCH("Pay1 - Sept - May",Data[#Headers],0)),0)</f>
        <v>198094</v>
      </c>
      <c r="F4" s="48">
        <f t="shared" ref="F4:F11" si="0">D4-E4</f>
        <v>710636</v>
      </c>
      <c r="G4" s="19">
        <f>ROUND(SUMIFS(INDEX(Data_Detail[],0,MATCH(G$2,Data_Detail[#Headers],0)),Data_Detail[AEA],$A4,Data_Detail[FiscalYear],$K$2)/SUMIFS(INDEX(Data_Detail[],0,MATCH($E$26,Data_Detail[#Headers],0)),Data_Detail[AEA],$A4,Data_Detail[FiscalYear],$K$2)*
INDEX(Data[],MATCH($A4,Data[AEA],0),MATCH("Pay1 - Sept - May",Data[#Headers],0)),0)</f>
        <v>276759</v>
      </c>
      <c r="H4" s="19">
        <f>ROUND(SUMIFS(INDEX(Data_Detail[],0,MATCH(H$2,Data_Detail[#Headers],0)),Data_Detail[AEA],$A4,Data_Detail[FiscalYear],$K$2)/SUMIFS(INDEX(Data_Detail[],0,MATCH($E$26,Data_Detail[#Headers],0)),Data_Detail[AEA],$A4,Data_Detail[FiscalYear],$K$2)*
INDEX(Data[],MATCH($A4,Data[AEA],0),MATCH("Pay1 - Sept - May",Data[#Headers],0)),0)</f>
        <v>13817</v>
      </c>
      <c r="I4" s="47">
        <f t="shared" ref="I4:I11" si="1">SUM(F4:H4)</f>
        <v>1001212</v>
      </c>
      <c r="K4" s="6">
        <f>F12+C24+F24+G24-F36</f>
        <v>0</v>
      </c>
    </row>
    <row r="5" spans="1:11" x14ac:dyDescent="0.25">
      <c r="A5" s="18" t="str">
        <f>Data!A4</f>
        <v>07</v>
      </c>
      <c r="B5" s="11" t="str">
        <f>INDEX(Data_Detail[],MATCH('PaymentCodingDetail_Sept-May'!$A5,Data_Detail[AEA],0),3)</f>
        <v>Central Rivers</v>
      </c>
      <c r="C5" s="12">
        <f>ROUND(SUMIFS(INDEX(Data_Detail[],0,MATCH(C$2,Data_Detail[#Headers],0)),Data_Detail[AEA],$A5,Data_Detail[FiscalYear],$K$2)/SUMIFS(INDEX(Data_Detail[],0,MATCH($E$26,Data_Detail[#Headers],0)),Data_Detail[AEA],$A5,Data_Detail[FiscalYear],$K$2)*
INDEX(Data[],MATCH($A5,Data[AEA],0),MATCH("Pay1 - Sept - May",Data[#Headers],0)),0)</f>
        <v>2428179</v>
      </c>
      <c r="D5" s="12">
        <f>ROUND(SUMIFS(INDEX(Data_Detail[],0,MATCH(D$2,Data_Detail[#Headers],0)),Data_Detail[AEA],$A5,Data_Detail[FiscalYear],$K$2)/SUMIFS(INDEX(Data_Detail[],0,MATCH($E$26,Data_Detail[#Headers],0)),Data_Detail[AEA],$A5,Data_Detail[FiscalYear],$K$2)*
INDEX(Data[],MATCH($A5,Data[AEA],0),MATCH("Pay1 - Sept - May",Data[#Headers],0)),0)</f>
        <v>1897015</v>
      </c>
      <c r="E5" s="12">
        <f>ROUND(SUMIFS(INDEX(Data_Detail[],0,MATCH(E$2,Data_Detail[#Headers],0)),Data_Detail[AEA],$A5,Data_Detail[FiscalYear],$K$2)/SUMIFS(INDEX(Data_Detail[],0,MATCH($E$26,Data_Detail[#Headers],0)),Data_Detail[AEA],$A5,Data_Detail[FiscalYear],$K$2)*
INDEX(Data[],MATCH($A5,Data[AEA],0),MATCH("Pay1 - Sept - May",Data[#Headers],0)),0)</f>
        <v>413530</v>
      </c>
      <c r="F5" s="48">
        <f t="shared" si="0"/>
        <v>1483485</v>
      </c>
      <c r="G5" s="19">
        <f>ROUND(SUMIFS(INDEX(Data_Detail[],0,MATCH(G$2,Data_Detail[#Headers],0)),Data_Detail[AEA],$A5,Data_Detail[FiscalYear],$K$2)/SUMIFS(INDEX(Data_Detail[],0,MATCH($E$26,Data_Detail[#Headers],0)),Data_Detail[AEA],$A5,Data_Detail[FiscalYear],$K$2)*
INDEX(Data[],MATCH($A5,Data[AEA],0),MATCH("Pay1 - Sept - May",Data[#Headers],0)),0)</f>
        <v>531164</v>
      </c>
      <c r="H5" s="19">
        <f>ROUND(SUMIFS(INDEX(Data_Detail[],0,MATCH(H$2,Data_Detail[#Headers],0)),Data_Detail[AEA],$A5,Data_Detail[FiscalYear],$K$2)/SUMIFS(INDEX(Data_Detail[],0,MATCH($E$26,Data_Detail[#Headers],0)),Data_Detail[AEA],$A5,Data_Detail[FiscalYear],$K$2)*
INDEX(Data[],MATCH($A5,Data[AEA],0),MATCH("Pay1 - Sept - May",Data[#Headers],0)),0)</f>
        <v>12008</v>
      </c>
      <c r="I5" s="47">
        <f t="shared" si="1"/>
        <v>2026657</v>
      </c>
      <c r="K5" s="6">
        <f>F12+E12-D12</f>
        <v>0</v>
      </c>
    </row>
    <row r="6" spans="1:11" x14ac:dyDescent="0.25">
      <c r="A6" s="18" t="str">
        <f>Data!A5</f>
        <v>09</v>
      </c>
      <c r="B6" s="11" t="str">
        <f>INDEX(Data_Detail[],MATCH('PaymentCodingDetail_Sept-May'!$A6,Data_Detail[AEA],0),3)</f>
        <v>Mississippi Bend AEA 9</v>
      </c>
      <c r="C6" s="12">
        <f>ROUND(SUMIFS(INDEX(Data_Detail[],0,MATCH(C$2,Data_Detail[#Headers],0)),Data_Detail[AEA],$A6,Data_Detail[FiscalYear],$K$2)/SUMIFS(INDEX(Data_Detail[],0,MATCH($E$26,Data_Detail[#Headers],0)),Data_Detail[AEA],$A6,Data_Detail[FiscalYear],$K$2)*
INDEX(Data[],MATCH($A6,Data[AEA],0),MATCH("Pay1 - Sept - May",Data[#Headers],0)),0)</f>
        <v>1749477</v>
      </c>
      <c r="D6" s="12">
        <f>ROUND(SUMIFS(INDEX(Data_Detail[],0,MATCH(D$2,Data_Detail[#Headers],0)),Data_Detail[AEA],$A6,Data_Detail[FiscalYear],$K$2)/SUMIFS(INDEX(Data_Detail[],0,MATCH($E$26,Data_Detail[#Headers],0)),Data_Detail[AEA],$A6,Data_Detail[FiscalYear],$K$2)*
INDEX(Data[],MATCH($A6,Data[AEA],0),MATCH("Pay1 - Sept - May",Data[#Headers],0)),0)+1</f>
        <v>1376177</v>
      </c>
      <c r="E6" s="12">
        <f>ROUND(SUMIFS(INDEX(Data_Detail[],0,MATCH(E$2,Data_Detail[#Headers],0)),Data_Detail[AEA],$A6,Data_Detail[FiscalYear],$K$2)/SUMIFS(INDEX(Data_Detail[],0,MATCH($E$26,Data_Detail[#Headers],0)),Data_Detail[AEA],$A6,Data_Detail[FiscalYear],$K$2)*
INDEX(Data[],MATCH($A6,Data[AEA],0),MATCH("Pay1 - Sept - May",Data[#Headers],0)),0)</f>
        <v>299992</v>
      </c>
      <c r="F6" s="48">
        <f t="shared" si="0"/>
        <v>1076185</v>
      </c>
      <c r="G6" s="19">
        <f>ROUND(SUMIFS(INDEX(Data_Detail[],0,MATCH(G$2,Data_Detail[#Headers],0)),Data_Detail[AEA],$A6,Data_Detail[FiscalYear],$K$2)/SUMIFS(INDEX(Data_Detail[],0,MATCH($E$26,Data_Detail[#Headers],0)),Data_Detail[AEA],$A6,Data_Detail[FiscalYear],$K$2)*
INDEX(Data[],MATCH($A6,Data[AEA],0),MATCH("Pay1 - Sept - May",Data[#Headers],0)),0)</f>
        <v>373300</v>
      </c>
      <c r="H6" s="19">
        <f>ROUND(SUMIFS(INDEX(Data_Detail[],0,MATCH(H$2,Data_Detail[#Headers],0)),Data_Detail[AEA],$A6,Data_Detail[FiscalYear],$K$2)/SUMIFS(INDEX(Data_Detail[],0,MATCH($E$26,Data_Detail[#Headers],0)),Data_Detail[AEA],$A6,Data_Detail[FiscalYear],$K$2)*
INDEX(Data[],MATCH($A6,Data[AEA],0),MATCH("Pay1 - Sept - May",Data[#Headers],0)),0)</f>
        <v>10583</v>
      </c>
      <c r="I6" s="47">
        <f t="shared" si="1"/>
        <v>1460068</v>
      </c>
      <c r="K6" s="6">
        <f>H12+G12+F12-I12</f>
        <v>0</v>
      </c>
    </row>
    <row r="7" spans="1:11" x14ac:dyDescent="0.25">
      <c r="A7" s="18" t="str">
        <f>Data!A6</f>
        <v>10</v>
      </c>
      <c r="B7" s="11" t="str">
        <f>INDEX(Data_Detail[],MATCH('PaymentCodingDetail_Sept-May'!$A7,Data_Detail[AEA],0),3)</f>
        <v>Grant Wood AEA 10</v>
      </c>
      <c r="C7" s="12">
        <f>ROUND(SUMIFS(INDEX(Data_Detail[],0,MATCH(C$2,Data_Detail[#Headers],0)),Data_Detail[AEA],$A7,Data_Detail[FiscalYear],$K$2)/SUMIFS(INDEX(Data_Detail[],0,MATCH($E$26,Data_Detail[#Headers],0)),Data_Detail[AEA],$A7,Data_Detail[FiscalYear],$K$2)*
INDEX(Data[],MATCH($A7,Data[AEA],0),MATCH("Pay1 - Sept - May",Data[#Headers],0)),0)</f>
        <v>2648322</v>
      </c>
      <c r="D7" s="12">
        <f>ROUND(SUMIFS(INDEX(Data_Detail[],0,MATCH(D$2,Data_Detail[#Headers],0)),Data_Detail[AEA],$A7,Data_Detail[FiscalYear],$K$2)/SUMIFS(INDEX(Data_Detail[],0,MATCH($E$26,Data_Detail[#Headers],0)),Data_Detail[AEA],$A7,Data_Detail[FiscalYear],$K$2)*
INDEX(Data[],MATCH($A7,Data[AEA],0),MATCH("Pay1 - Sept - May",Data[#Headers],0)),0)</f>
        <v>2094946</v>
      </c>
      <c r="E7" s="12">
        <f>ROUND(SUMIFS(INDEX(Data_Detail[],0,MATCH(E$2,Data_Detail[#Headers],0)),Data_Detail[AEA],$A7,Data_Detail[FiscalYear],$K$2)/SUMIFS(INDEX(Data_Detail[],0,MATCH($E$26,Data_Detail[#Headers],0)),Data_Detail[AEA],$A7,Data_Detail[FiscalYear],$K$2)*
INDEX(Data[],MATCH($A7,Data[AEA],0),MATCH("Pay1 - Sept - May",Data[#Headers],0)),0)</f>
        <v>456677</v>
      </c>
      <c r="F7" s="48">
        <f t="shared" si="0"/>
        <v>1638269</v>
      </c>
      <c r="G7" s="19">
        <f>ROUND(SUMIFS(INDEX(Data_Detail[],0,MATCH(G$2,Data_Detail[#Headers],0)),Data_Detail[AEA],$A7,Data_Detail[FiscalYear],$K$2)/SUMIFS(INDEX(Data_Detail[],0,MATCH($E$26,Data_Detail[#Headers],0)),Data_Detail[AEA],$A7,Data_Detail[FiscalYear],$K$2)*
INDEX(Data[],MATCH($A7,Data[AEA],0),MATCH("Pay1 - Sept - May",Data[#Headers],0)),0)</f>
        <v>553376</v>
      </c>
      <c r="H7" s="19">
        <f>ROUND(SUMIFS(INDEX(Data_Detail[],0,MATCH(H$2,Data_Detail[#Headers],0)),Data_Detail[AEA],$A7,Data_Detail[FiscalYear],$K$2)/SUMIFS(INDEX(Data_Detail[],0,MATCH($E$26,Data_Detail[#Headers],0)),Data_Detail[AEA],$A7,Data_Detail[FiscalYear],$K$2)*
INDEX(Data[],MATCH($A7,Data[AEA],0),MATCH("Pay1 - Sept - May",Data[#Headers],0)),0)</f>
        <v>10654</v>
      </c>
      <c r="I7" s="47">
        <f t="shared" si="1"/>
        <v>2202299</v>
      </c>
      <c r="K7" s="6">
        <f>C24+D24-E24</f>
        <v>0</v>
      </c>
    </row>
    <row r="8" spans="1:11" x14ac:dyDescent="0.25">
      <c r="A8" s="18" t="str">
        <f>Data!A7</f>
        <v>11</v>
      </c>
      <c r="B8" s="11" t="str">
        <f>INDEX(Data_Detail[],MATCH('PaymentCodingDetail_Sept-May'!$A8,Data_Detail[AEA],0),3)</f>
        <v>Heartland AEA 11</v>
      </c>
      <c r="C8" s="12">
        <f>ROUND(SUMIFS(INDEX(Data_Detail[],0,MATCH(C$2,Data_Detail[#Headers],0)),Data_Detail[AEA],$A8,Data_Detail[FiscalYear],$K$2)/SUMIFS(INDEX(Data_Detail[],0,MATCH($E$26,Data_Detail[#Headers],0)),Data_Detail[AEA],$A8,Data_Detail[FiscalYear],$K$2)*
INDEX(Data[],MATCH($A8,Data[AEA],0),MATCH("Pay1 - Sept - May",Data[#Headers],0)),0)</f>
        <v>5398962</v>
      </c>
      <c r="D8" s="12">
        <f>ROUND(SUMIFS(INDEX(Data_Detail[],0,MATCH(D$2,Data_Detail[#Headers],0)),Data_Detail[AEA],$A8,Data_Detail[FiscalYear],$K$2)/SUMIFS(INDEX(Data_Detail[],0,MATCH($E$26,Data_Detail[#Headers],0)),Data_Detail[AEA],$A8,Data_Detail[FiscalYear],$K$2)*
INDEX(Data[],MATCH($A8,Data[AEA],0),MATCH("Pay1 - Sept - May",Data[#Headers],0)),0)-1</f>
        <v>4361556</v>
      </c>
      <c r="E8" s="12">
        <f>ROUND(SUMIFS(INDEX(Data_Detail[],0,MATCH(E$2,Data_Detail[#Headers],0)),Data_Detail[AEA],$A8,Data_Detail[FiscalYear],$K$2)/SUMIFS(INDEX(Data_Detail[],0,MATCH($E$26,Data_Detail[#Headers],0)),Data_Detail[AEA],$A8,Data_Detail[FiscalYear],$K$2)*
INDEX(Data[],MATCH($A8,Data[AEA],0),MATCH("Pay1 - Sept - May",Data[#Headers],0)),0)</f>
        <v>950775</v>
      </c>
      <c r="F8" s="48">
        <f t="shared" si="0"/>
        <v>3410781</v>
      </c>
      <c r="G8" s="19">
        <f>ROUND(SUMIFS(INDEX(Data_Detail[],0,MATCH(G$2,Data_Detail[#Headers],0)),Data_Detail[AEA],$A8,Data_Detail[FiscalYear],$K$2)/SUMIFS(INDEX(Data_Detail[],0,MATCH($E$26,Data_Detail[#Headers],0)),Data_Detail[AEA],$A8,Data_Detail[FiscalYear],$K$2)*
INDEX(Data[],MATCH($A8,Data[AEA],0),MATCH("Pay1 - Sept - May",Data[#Headers],0)),0)</f>
        <v>1037405</v>
      </c>
      <c r="H8" s="19">
        <f>ROUND(SUMIFS(INDEX(Data_Detail[],0,MATCH(H$2,Data_Detail[#Headers],0)),Data_Detail[AEA],$A8,Data_Detail[FiscalYear],$K$2)/SUMIFS(INDEX(Data_Detail[],0,MATCH($E$26,Data_Detail[#Headers],0)),Data_Detail[AEA],$A8,Data_Detail[FiscalYear],$K$2)*
INDEX(Data[],MATCH($A8,Data[AEA],0),MATCH("Pay1 - Sept - May",Data[#Headers],0)),0)</f>
        <v>4691</v>
      </c>
      <c r="I8" s="47">
        <f t="shared" si="1"/>
        <v>4452877</v>
      </c>
    </row>
    <row r="9" spans="1:11" x14ac:dyDescent="0.25">
      <c r="A9" s="18" t="str">
        <f>Data!A8</f>
        <v>12</v>
      </c>
      <c r="B9" s="11" t="str">
        <f>INDEX(Data_Detail[],MATCH('PaymentCodingDetail_Sept-May'!$A9,Data_Detail[AEA],0),3)</f>
        <v>Northwest AEA</v>
      </c>
      <c r="C9" s="12">
        <f>ROUND(SUMIFS(INDEX(Data_Detail[],0,MATCH(C$2,Data_Detail[#Headers],0)),Data_Detail[AEA],$A9,Data_Detail[FiscalYear],$K$2)/SUMIFS(INDEX(Data_Detail[],0,MATCH($E$26,Data_Detail[#Headers],0)),Data_Detail[AEA],$A9,Data_Detail[FiscalYear],$K$2)*
INDEX(Data[],MATCH($A9,Data[AEA],0),MATCH("Pay1 - Sept - May",Data[#Headers],0)),0)</f>
        <v>1576816</v>
      </c>
      <c r="D9" s="12">
        <f>ROUND(SUMIFS(INDEX(Data_Detail[],0,MATCH(D$2,Data_Detail[#Headers],0)),Data_Detail[AEA],$A9,Data_Detail[FiscalYear],$K$2)/SUMIFS(INDEX(Data_Detail[],0,MATCH($E$26,Data_Detail[#Headers],0)),Data_Detail[AEA],$A9,Data_Detail[FiscalYear],$K$2)*
INDEX(Data[],MATCH($A9,Data[AEA],0),MATCH("Pay1 - Sept - May",Data[#Headers],0)),0)+1</f>
        <v>1220376</v>
      </c>
      <c r="E9" s="12">
        <f>ROUND(SUMIFS(INDEX(Data_Detail[],0,MATCH(E$2,Data_Detail[#Headers],0)),Data_Detail[AEA],$A9,Data_Detail[FiscalYear],$K$2)/SUMIFS(INDEX(Data_Detail[],0,MATCH($E$26,Data_Detail[#Headers],0)),Data_Detail[AEA],$A9,Data_Detail[FiscalYear],$K$2)*
INDEX(Data[],MATCH($A9,Data[AEA],0),MATCH("Pay1 - Sept - May",Data[#Headers],0)),0)</f>
        <v>266030</v>
      </c>
      <c r="F9" s="48">
        <f t="shared" si="0"/>
        <v>954346</v>
      </c>
      <c r="G9" s="19">
        <f>ROUND(SUMIFS(INDEX(Data_Detail[],0,MATCH(G$2,Data_Detail[#Headers],0)),Data_Detail[AEA],$A9,Data_Detail[FiscalYear],$K$2)/SUMIFS(INDEX(Data_Detail[],0,MATCH($E$26,Data_Detail[#Headers],0)),Data_Detail[AEA],$A9,Data_Detail[FiscalYear],$K$2)*
INDEX(Data[],MATCH($A9,Data[AEA],0),MATCH("Pay1 - Sept - May",Data[#Headers],0)),0)</f>
        <v>356440</v>
      </c>
      <c r="H9" s="19">
        <f>ROUND(SUMIFS(INDEX(Data_Detail[],0,MATCH(H$2,Data_Detail[#Headers],0)),Data_Detail[AEA],$A9,Data_Detail[FiscalYear],$K$2)/SUMIFS(INDEX(Data_Detail[],0,MATCH($E$26,Data_Detail[#Headers],0)),Data_Detail[AEA],$A9,Data_Detail[FiscalYear],$K$2)*
INDEX(Data[],MATCH($A9,Data[AEA],0),MATCH("Pay1 - Sept - May",Data[#Headers],0)),0)</f>
        <v>7967</v>
      </c>
      <c r="I9" s="47">
        <f t="shared" si="1"/>
        <v>1318753</v>
      </c>
    </row>
    <row r="10" spans="1:11" x14ac:dyDescent="0.25">
      <c r="A10" s="18" t="str">
        <f>Data!A9</f>
        <v>13</v>
      </c>
      <c r="B10" s="11" t="str">
        <f>INDEX(Data_Detail[],MATCH('PaymentCodingDetail_Sept-May'!$A10,Data_Detail[AEA],0),3)</f>
        <v>Green Hills AEA 13</v>
      </c>
      <c r="C10" s="12">
        <f>ROUND(SUMIFS(INDEX(Data_Detail[],0,MATCH(C$2,Data_Detail[#Headers],0)),Data_Detail[AEA],$A10,Data_Detail[FiscalYear],$K$2)/SUMIFS(INDEX(Data_Detail[],0,MATCH($E$26,Data_Detail[#Headers],0)),Data_Detail[AEA],$A10,Data_Detail[FiscalYear],$K$2)*
INDEX(Data[],MATCH($A10,Data[AEA],0),MATCH("Pay1 - Sept - May",Data[#Headers],0)),0)</f>
        <v>1458594</v>
      </c>
      <c r="D10" s="12">
        <f>ROUND(SUMIFS(INDEX(Data_Detail[],0,MATCH(D$2,Data_Detail[#Headers],0)),Data_Detail[AEA],$A10,Data_Detail[FiscalYear],$K$2)/SUMIFS(INDEX(Data_Detail[],0,MATCH($E$26,Data_Detail[#Headers],0)),Data_Detail[AEA],$A10,Data_Detail[FiscalYear],$K$2)*
INDEX(Data[],MATCH($A10,Data[AEA],0),MATCH("Pay1 - Sept - May",Data[#Headers],0)),0)</f>
        <v>1150580</v>
      </c>
      <c r="E10" s="12">
        <f>ROUND(SUMIFS(INDEX(Data_Detail[],0,MATCH(E$2,Data_Detail[#Headers],0)),Data_Detail[AEA],$A10,Data_Detail[FiscalYear],$K$2)/SUMIFS(INDEX(Data_Detail[],0,MATCH($E$26,Data_Detail[#Headers],0)),Data_Detail[AEA],$A10,Data_Detail[FiscalYear],$K$2)*
INDEX(Data[],MATCH($A10,Data[AEA],0),MATCH("Pay1 - Sept - May",Data[#Headers],0)),0)</f>
        <v>250814</v>
      </c>
      <c r="F10" s="48">
        <f t="shared" si="0"/>
        <v>899766</v>
      </c>
      <c r="G10" s="19">
        <f>ROUND(SUMIFS(INDEX(Data_Detail[],0,MATCH(G$2,Data_Detail[#Headers],0)),Data_Detail[AEA],$A10,Data_Detail[FiscalYear],$K$2)/SUMIFS(INDEX(Data_Detail[],0,MATCH($E$26,Data_Detail[#Headers],0)),Data_Detail[AEA],$A10,Data_Detail[FiscalYear],$K$2)*
INDEX(Data[],MATCH($A10,Data[AEA],0),MATCH("Pay1 - Sept - May",Data[#Headers],0)),0)</f>
        <v>308015</v>
      </c>
      <c r="H10" s="19">
        <f>ROUND(SUMIFS(INDEX(Data_Detail[],0,MATCH(H$2,Data_Detail[#Headers],0)),Data_Detail[AEA],$A10,Data_Detail[FiscalYear],$K$2)/SUMIFS(INDEX(Data_Detail[],0,MATCH($E$26,Data_Detail[#Headers],0)),Data_Detail[AEA],$A10,Data_Detail[FiscalYear],$K$2)*
INDEX(Data[],MATCH($A10,Data[AEA],0),MATCH("Pay1 - Sept - May",Data[#Headers],0)),0)</f>
        <v>10192</v>
      </c>
      <c r="I10" s="47">
        <f t="shared" si="1"/>
        <v>1217973</v>
      </c>
    </row>
    <row r="11" spans="1:11" x14ac:dyDescent="0.25">
      <c r="A11" s="18" t="str">
        <f>Data!A10</f>
        <v>15</v>
      </c>
      <c r="B11" s="11" t="str">
        <f>INDEX(Data_Detail[],MATCH('PaymentCodingDetail_Sept-May'!$A11,Data_Detail[AEA],0),3)</f>
        <v>Great Prairie AEA 15</v>
      </c>
      <c r="C11" s="12">
        <f>ROUND(SUMIFS(INDEX(Data_Detail[],0,MATCH(C$2,Data_Detail[#Headers],0)),Data_Detail[AEA],$A11,Data_Detail[FiscalYear],$K$2)/SUMIFS(INDEX(Data_Detail[],0,MATCH($E$26,Data_Detail[#Headers],0)),Data_Detail[AEA],$A11,Data_Detail[FiscalYear],$K$2)*
INDEX(Data[],MATCH($A11,Data[AEA],0),MATCH("Pay1 - Sept - May",Data[#Headers],0)),0)</f>
        <v>1296007</v>
      </c>
      <c r="D11" s="12">
        <f>ROUND(SUMIFS(INDEX(Data_Detail[],0,MATCH(D$2,Data_Detail[#Headers],0)),Data_Detail[AEA],$A11,Data_Detail[FiscalYear],$K$2)/SUMIFS(INDEX(Data_Detail[],0,MATCH($E$26,Data_Detail[#Headers],0)),Data_Detail[AEA],$A11,Data_Detail[FiscalYear],$K$2)*
INDEX(Data[],MATCH($A11,Data[AEA],0),MATCH("Pay1 - Sept - May",Data[#Headers],0)),0)</f>
        <v>1030273</v>
      </c>
      <c r="E11" s="12">
        <f>ROUND(SUMIFS(INDEX(Data_Detail[],0,MATCH(E$2,Data_Detail[#Headers],0)),Data_Detail[AEA],$A11,Data_Detail[FiscalYear],$K$2)/SUMIFS(INDEX(Data_Detail[],0,MATCH($E$26,Data_Detail[#Headers],0)),Data_Detail[AEA],$A11,Data_Detail[FiscalYear],$K$2)*
INDEX(Data[],MATCH($A11,Data[AEA],0),MATCH("Pay1 - Sept - May",Data[#Headers],0)),0)</f>
        <v>224589</v>
      </c>
      <c r="F11" s="48">
        <f t="shared" si="0"/>
        <v>805684</v>
      </c>
      <c r="G11" s="19">
        <f>ROUND(SUMIFS(INDEX(Data_Detail[],0,MATCH(G$2,Data_Detail[#Headers],0)),Data_Detail[AEA],$A11,Data_Detail[FiscalYear],$K$2)/SUMIFS(INDEX(Data_Detail[],0,MATCH($E$26,Data_Detail[#Headers],0)),Data_Detail[AEA],$A11,Data_Detail[FiscalYear],$K$2)*
INDEX(Data[],MATCH($A11,Data[AEA],0),MATCH("Pay1 - Sept - May",Data[#Headers],0)),0)</f>
        <v>265734</v>
      </c>
      <c r="H11" s="19">
        <f>ROUND(SUMIFS(INDEX(Data_Detail[],0,MATCH(H$2,Data_Detail[#Headers],0)),Data_Detail[AEA],$A11,Data_Detail[FiscalYear],$K$2)/SUMIFS(INDEX(Data_Detail[],0,MATCH($E$26,Data_Detail[#Headers],0)),Data_Detail[AEA],$A11,Data_Detail[FiscalYear],$K$2)*
INDEX(Data[],MATCH($A11,Data[AEA],0),MATCH("Pay1 - Sept - May",Data[#Headers],0)),0)</f>
        <v>12134</v>
      </c>
      <c r="I11" s="47">
        <f t="shared" si="1"/>
        <v>1083552</v>
      </c>
    </row>
    <row r="12" spans="1:11" ht="15.75" thickBot="1" x14ac:dyDescent="0.3">
      <c r="C12" s="16">
        <f>SUM(C3:C11)</f>
        <v>18889586</v>
      </c>
      <c r="D12" s="16">
        <f t="shared" ref="D12:I12" si="2">SUM(D3:D11)</f>
        <v>14908958</v>
      </c>
      <c r="E12" s="16">
        <f t="shared" si="2"/>
        <v>3250000</v>
      </c>
      <c r="F12" s="37">
        <f t="shared" si="2"/>
        <v>11658958</v>
      </c>
      <c r="G12" s="20">
        <f t="shared" si="2"/>
        <v>3980628</v>
      </c>
      <c r="H12" s="20">
        <f>SUM(H3:H11)</f>
        <v>83465</v>
      </c>
      <c r="I12" s="16">
        <f t="shared" si="2"/>
        <v>15723051</v>
      </c>
    </row>
    <row r="13" spans="1:11" ht="7.5" customHeight="1" thickTop="1" x14ac:dyDescent="0.25"/>
    <row r="14" spans="1:11" ht="45" x14ac:dyDescent="0.25">
      <c r="A14" s="17" t="str">
        <f t="shared" ref="A14:B23" si="3">A2</f>
        <v>AEA</v>
      </c>
      <c r="B14" s="17" t="str">
        <f t="shared" si="3"/>
        <v>AEA Name</v>
      </c>
      <c r="C14" s="21"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1" t="str">
        <f>Data_Detail[[#Headers],[AEA Teacher Salary Supplement District Cost]]</f>
        <v>AEA Teacher Salary Supplement District Cost</v>
      </c>
      <c r="G14" s="32"/>
    </row>
    <row r="15" spans="1:11" x14ac:dyDescent="0.25">
      <c r="A15" s="11" t="str">
        <f t="shared" si="3"/>
        <v>01</v>
      </c>
      <c r="B15" s="11" t="str">
        <f t="shared" si="3"/>
        <v>Keystone AEA 1</v>
      </c>
      <c r="C15" s="22">
        <f>ROUND(SUMIFS(INDEX(Data_Detail[],0,MATCH(C$14,Data_Detail[#Headers],0)),Data_Detail[AEA],$A15,Data_Detail[FiscalYear],$K$2)/SUMIFS(INDEX(Data_Detail[],0,MATCH($E$26,Data_Detail[#Headers],0)),Data_Detail[AEA],$A15,Data_Detail[FiscalYear],$K$2)*
INDEX(Data[],MATCH($A15,Data[AEA],0),MATCH("Pay1 - Sept - May",Data[#Headers],0)),0)</f>
        <v>2272</v>
      </c>
      <c r="D15" s="19">
        <f>ROUND(SUMIFS(INDEX(Data_Detail[],0,MATCH(D$14,Data_Detail[#Headers],0)),Data_Detail[AEA],$A15,Data_Detail[FiscalYear],$K$2)/SUMIFS(INDEX(Data_Detail[],0,MATCH($E$26,Data_Detail[#Headers],0)),Data_Detail[AEA],$A15,Data_Detail[FiscalYear],$K$2)*
INDEX(Data[],MATCH($A15,Data[AEA],0),MATCH("Pay1 - Sept - May",Data[#Headers],0)),0)</f>
        <v>728</v>
      </c>
      <c r="E15" s="50">
        <f>SUM(C15:D15)</f>
        <v>3000</v>
      </c>
      <c r="F15" s="22">
        <f>ROUND(SUMIFS(INDEX(Data_Detail[],0,MATCH(F$14,Data_Detail[#Headers],0)),Data_Detail[AEA],$A15,Data_Detail[FiscalYear],$K$2)/SUMIFS(INDEX(Data_Detail[],0,MATCH($E$26,Data_Detail[#Headers],0)),Data_Detail[AEA],$A15,Data_Detail[FiscalYear],$K$2)*
INDEX(Data[],MATCH($A15,Data[AEA],0),MATCH("Pay1 - Sept - May",Data[#Headers],0)),0)</f>
        <v>113863</v>
      </c>
      <c r="G15" s="60"/>
    </row>
    <row r="16" spans="1:11" x14ac:dyDescent="0.25">
      <c r="A16" s="11" t="str">
        <f t="shared" si="3"/>
        <v>05</v>
      </c>
      <c r="B16" s="11" t="str">
        <f t="shared" si="3"/>
        <v>Prairie Lakes AEA 8</v>
      </c>
      <c r="C16" s="22">
        <f>ROUND(SUMIFS(INDEX(Data_Detail[],0,MATCH(C$14,Data_Detail[#Headers],0)),Data_Detail[AEA],$A16,Data_Detail[FiscalYear],$K$2)/SUMIFS(INDEX(Data_Detail[],0,MATCH($E$26,Data_Detail[#Headers],0)),Data_Detail[AEA],$A16,Data_Detail[FiscalYear],$K$2)*
INDEX(Data[],MATCH($A16,Data[AEA],0),MATCH("Pay1 - Sept - May",Data[#Headers],0)),0)</f>
        <v>0</v>
      </c>
      <c r="D16" s="19">
        <f>ROUND(SUMIFS(INDEX(Data_Detail[],0,MATCH(D$14,Data_Detail[#Headers],0)),Data_Detail[AEA],$A16,Data_Detail[FiscalYear],$K$2)/SUMIFS(INDEX(Data_Detail[],0,MATCH($E$26,Data_Detail[#Headers],0)),Data_Detail[AEA],$A16,Data_Detail[FiscalYear],$K$2)*
INDEX(Data[],MATCH($A16,Data[AEA],0),MATCH("Pay1 - Sept - May",Data[#Headers],0)),0)</f>
        <v>0</v>
      </c>
      <c r="E16" s="50">
        <f t="shared" ref="E16:E23" si="4">SUM(C16:D16)</f>
        <v>0</v>
      </c>
      <c r="F16" s="22">
        <f>ROUND(SUMIFS(INDEX(Data_Detail[],0,MATCH(F$14,Data_Detail[#Headers],0)),Data_Detail[AEA],$A16,Data_Detail[FiscalYear],$K$2)/SUMIFS(INDEX(Data_Detail[],0,MATCH($E$26,Data_Detail[#Headers],0)),Data_Detail[AEA],$A16,Data_Detail[FiscalYear],$K$2)*
INDEX(Data[],MATCH($A16,Data[AEA],0),MATCH("Pay1 - Sept - May",Data[#Headers],0)),0)</f>
        <v>126435</v>
      </c>
      <c r="G16" s="60"/>
      <c r="H16" s="65" t="s">
        <v>79</v>
      </c>
    </row>
    <row r="17" spans="1:13" x14ac:dyDescent="0.25">
      <c r="A17" s="11" t="str">
        <f t="shared" si="3"/>
        <v>07</v>
      </c>
      <c r="B17" s="11" t="str">
        <f t="shared" si="3"/>
        <v>Central Rivers</v>
      </c>
      <c r="C17" s="22">
        <f>ROUND(SUMIFS(INDEX(Data_Detail[],0,MATCH(C$14,Data_Detail[#Headers],0)),Data_Detail[AEA],$A17,Data_Detail[FiscalYear],$K$2)/SUMIFS(INDEX(Data_Detail[],0,MATCH($E$26,Data_Detail[#Headers],0)),Data_Detail[AEA],$A17,Data_Detail[FiscalYear],$K$2)*
INDEX(Data[],MATCH($A17,Data[AEA],0),MATCH("Pay1 - Sept - May",Data[#Headers],0)),0)</f>
        <v>2343</v>
      </c>
      <c r="D17" s="19">
        <f>ROUND(SUMIFS(INDEX(Data_Detail[],0,MATCH(D$14,Data_Detail[#Headers],0)),Data_Detail[AEA],$A17,Data_Detail[FiscalYear],$K$2)/SUMIFS(INDEX(Data_Detail[],0,MATCH($E$26,Data_Detail[#Headers],0)),Data_Detail[AEA],$A17,Data_Detail[FiscalYear],$K$2)*
INDEX(Data[],MATCH($A17,Data[AEA],0),MATCH("Pay1 - Sept - May",Data[#Headers],0)),0)</f>
        <v>657</v>
      </c>
      <c r="E17" s="50">
        <f t="shared" si="4"/>
        <v>3000</v>
      </c>
      <c r="F17" s="22">
        <f>ROUND(SUMIFS(INDEX(Data_Detail[],0,MATCH(F$14,Data_Detail[#Headers],0)),Data_Detail[AEA],$A17,Data_Detail[FiscalYear],$K$2)/SUMIFS(INDEX(Data_Detail[],0,MATCH($E$26,Data_Detail[#Headers],0)),Data_Detail[AEA],$A17,Data_Detail[FiscalYear],$K$2)*
INDEX(Data[],MATCH($A17,Data[AEA],0),MATCH("Pay1 - Sept - May",Data[#Headers],0)),0)</f>
        <v>299659</v>
      </c>
      <c r="G17" s="60"/>
      <c r="H17" s="65"/>
    </row>
    <row r="18" spans="1:13" x14ac:dyDescent="0.25">
      <c r="A18" s="11" t="str">
        <f t="shared" si="3"/>
        <v>09</v>
      </c>
      <c r="B18" s="11" t="str">
        <f t="shared" si="3"/>
        <v>Mississippi Bend AEA 9</v>
      </c>
      <c r="C18" s="22">
        <f>ROUND(SUMIFS(INDEX(Data_Detail[],0,MATCH(C$14,Data_Detail[#Headers],0)),Data_Detail[AEA],$A18,Data_Detail[FiscalYear],$K$2)/SUMIFS(INDEX(Data_Detail[],0,MATCH($E$26,Data_Detail[#Headers],0)),Data_Detail[AEA],$A18,Data_Detail[FiscalYear],$K$2)*
INDEX(Data[],MATCH($A18,Data[AEA],0),MATCH("Pay1 - Sept - May",Data[#Headers],0)),0)</f>
        <v>2360</v>
      </c>
      <c r="D18" s="19">
        <f>ROUND(SUMIFS(INDEX(Data_Detail[],0,MATCH(D$14,Data_Detail[#Headers],0)),Data_Detail[AEA],$A18,Data_Detail[FiscalYear],$K$2)/SUMIFS(INDEX(Data_Detail[],0,MATCH($E$26,Data_Detail[#Headers],0)),Data_Detail[AEA],$A18,Data_Detail[FiscalYear],$K$2)*
INDEX(Data[],MATCH($A18,Data[AEA],0),MATCH("Pay1 - Sept - May",Data[#Headers],0)),0)</f>
        <v>640</v>
      </c>
      <c r="E18" s="50">
        <f t="shared" si="4"/>
        <v>3000</v>
      </c>
      <c r="F18" s="22">
        <f>ROUND(SUMIFS(INDEX(Data_Detail[],0,MATCH(F$14,Data_Detail[#Headers],0)),Data_Detail[AEA],$A18,Data_Detail[FiscalYear],$K$2)/SUMIFS(INDEX(Data_Detail[],0,MATCH($E$26,Data_Detail[#Headers],0)),Data_Detail[AEA],$A18,Data_Detail[FiscalYear],$K$2)*
INDEX(Data[],MATCH($A18,Data[AEA],0),MATCH("Pay1 - Sept - May",Data[#Headers],0)),0)</f>
        <v>161520</v>
      </c>
      <c r="G18" s="60"/>
      <c r="H18" s="66" t="s">
        <v>731</v>
      </c>
    </row>
    <row r="19" spans="1:13" x14ac:dyDescent="0.25">
      <c r="A19" s="11" t="str">
        <f t="shared" si="3"/>
        <v>10</v>
      </c>
      <c r="B19" s="11" t="str">
        <f t="shared" si="3"/>
        <v>Grant Wood AEA 10</v>
      </c>
      <c r="C19" s="22">
        <f>ROUND(SUMIFS(INDEX(Data_Detail[],0,MATCH(C$14,Data_Detail[#Headers],0)),Data_Detail[AEA],$A19,Data_Detail[FiscalYear],$K$2)/SUMIFS(INDEX(Data_Detail[],0,MATCH($E$26,Data_Detail[#Headers],0)),Data_Detail[AEA],$A19,Data_Detail[FiscalYear],$K$2)*
INDEX(Data[],MATCH($A19,Data[AEA],0),MATCH("Pay1 - Sept - May",Data[#Headers],0)),0)</f>
        <v>2373</v>
      </c>
      <c r="D19" s="19">
        <f>ROUND(SUMIFS(INDEX(Data_Detail[],0,MATCH(D$14,Data_Detail[#Headers],0)),Data_Detail[AEA],$A19,Data_Detail[FiscalYear],$K$2)/SUMIFS(INDEX(Data_Detail[],0,MATCH($E$26,Data_Detail[#Headers],0)),Data_Detail[AEA],$A19,Data_Detail[FiscalYear],$K$2)*
INDEX(Data[],MATCH($A19,Data[AEA],0),MATCH("Pay1 - Sept - May",Data[#Headers],0)),0)</f>
        <v>627</v>
      </c>
      <c r="E19" s="50">
        <f t="shared" si="4"/>
        <v>3000</v>
      </c>
      <c r="F19" s="22">
        <f>ROUND(SUMIFS(INDEX(Data_Detail[],0,MATCH(F$14,Data_Detail[#Headers],0)),Data_Detail[AEA],$A19,Data_Detail[FiscalYear],$K$2)/SUMIFS(INDEX(Data_Detail[],0,MATCH($E$26,Data_Detail[#Headers],0)),Data_Detail[AEA],$A19,Data_Detail[FiscalYear],$K$2)*
INDEX(Data[],MATCH($A19,Data[AEA],0),MATCH("Pay1 - Sept - May",Data[#Headers],0)),0)</f>
        <v>251546</v>
      </c>
      <c r="G19" s="60"/>
      <c r="H19" s="66"/>
    </row>
    <row r="20" spans="1:13" x14ac:dyDescent="0.25">
      <c r="A20" s="11" t="str">
        <f t="shared" si="3"/>
        <v>11</v>
      </c>
      <c r="B20" s="11" t="str">
        <f t="shared" si="3"/>
        <v>Heartland AEA 11</v>
      </c>
      <c r="C20" s="22">
        <f>ROUND(SUMIFS(INDEX(Data_Detail[],0,MATCH(C$14,Data_Detail[#Headers],0)),Data_Detail[AEA],$A20,Data_Detail[FiscalYear],$K$2)/SUMIFS(INDEX(Data_Detail[],0,MATCH($E$26,Data_Detail[#Headers],0)),Data_Detail[AEA],$A20,Data_Detail[FiscalYear],$K$2)*
INDEX(Data[],MATCH($A20,Data[AEA],0),MATCH("Pay1 - Sept - May",Data[#Headers],0)),0)</f>
        <v>0</v>
      </c>
      <c r="D20" s="19">
        <f>ROUND(SUMIFS(INDEX(Data_Detail[],0,MATCH(D$14,Data_Detail[#Headers],0)),Data_Detail[AEA],$A20,Data_Detail[FiscalYear],$K$2)/SUMIFS(INDEX(Data_Detail[],0,MATCH($E$26,Data_Detail[#Headers],0)),Data_Detail[AEA],$A20,Data_Detail[FiscalYear],$K$2)*
INDEX(Data[],MATCH($A20,Data[AEA],0),MATCH("Pay1 - Sept - May",Data[#Headers],0)),0)</f>
        <v>0</v>
      </c>
      <c r="E20" s="50">
        <f t="shared" si="4"/>
        <v>0</v>
      </c>
      <c r="F20" s="22">
        <f>ROUND(SUMIFS(INDEX(Data_Detail[],0,MATCH(F$14,Data_Detail[#Headers],0)),Data_Detail[AEA],$A20,Data_Detail[FiscalYear],$K$2)/SUMIFS(INDEX(Data_Detail[],0,MATCH($E$26,Data_Detail[#Headers],0)),Data_Detail[AEA],$A20,Data_Detail[FiscalYear],$K$2)*
INDEX(Data[],MATCH($A20,Data[AEA],0),MATCH("Pay1 - Sept - May",Data[#Headers],0)),0)</f>
        <v>462371</v>
      </c>
      <c r="G20" s="60"/>
    </row>
    <row r="21" spans="1:13" x14ac:dyDescent="0.25">
      <c r="A21" s="11" t="str">
        <f t="shared" si="3"/>
        <v>12</v>
      </c>
      <c r="B21" s="11" t="str">
        <f t="shared" si="3"/>
        <v>Northwest AEA</v>
      </c>
      <c r="C21" s="22">
        <f>ROUND(SUMIFS(INDEX(Data_Detail[],0,MATCH(C$14,Data_Detail[#Headers],0)),Data_Detail[AEA],$A21,Data_Detail[FiscalYear],$K$2)/SUMIFS(INDEX(Data_Detail[],0,MATCH($E$26,Data_Detail[#Headers],0)),Data_Detail[AEA],$A21,Data_Detail[FiscalYear],$K$2)*
INDEX(Data[],MATCH($A21,Data[AEA],0),MATCH("Pay1 - Sept - May",Data[#Headers],0)),0)</f>
        <v>2322</v>
      </c>
      <c r="D21" s="19">
        <f>ROUND(SUMIFS(INDEX(Data_Detail[],0,MATCH(D$14,Data_Detail[#Headers],0)),Data_Detail[AEA],$A21,Data_Detail[FiscalYear],$K$2)/SUMIFS(INDEX(Data_Detail[],0,MATCH($E$26,Data_Detail[#Headers],0)),Data_Detail[AEA],$A21,Data_Detail[FiscalYear],$K$2)*
INDEX(Data[],MATCH($A21,Data[AEA],0),MATCH("Pay1 - Sept - May",Data[#Headers],0)),0)</f>
        <v>678</v>
      </c>
      <c r="E21" s="50">
        <f t="shared" si="4"/>
        <v>3000</v>
      </c>
      <c r="F21" s="22">
        <f>ROUND(SUMIFS(INDEX(Data_Detail[],0,MATCH(F$14,Data_Detail[#Headers],0)),Data_Detail[AEA],$A21,Data_Detail[FiscalYear],$K$2)/SUMIFS(INDEX(Data_Detail[],0,MATCH($E$26,Data_Detail[#Headers],0)),Data_Detail[AEA],$A21,Data_Detail[FiscalYear],$K$2)*
INDEX(Data[],MATCH($A21,Data[AEA],0),MATCH("Pay1 - Sept - May",Data[#Headers],0)),0)</f>
        <v>159560</v>
      </c>
      <c r="G21" s="60"/>
    </row>
    <row r="22" spans="1:13" x14ac:dyDescent="0.25">
      <c r="A22" s="11" t="str">
        <f t="shared" si="3"/>
        <v>13</v>
      </c>
      <c r="B22" s="11" t="str">
        <f t="shared" si="3"/>
        <v>Green Hills AEA 13</v>
      </c>
      <c r="C22" s="22">
        <f>ROUND(SUMIFS(INDEX(Data_Detail[],0,MATCH(C$14,Data_Detail[#Headers],0)),Data_Detail[AEA],$A22,Data_Detail[FiscalYear],$K$2)/SUMIFS(INDEX(Data_Detail[],0,MATCH($E$26,Data_Detail[#Headers],0)),Data_Detail[AEA],$A22,Data_Detail[FiscalYear],$K$2)*
INDEX(Data[],MATCH($A22,Data[AEA],0),MATCH("Pay1 - Sept - May",Data[#Headers],0)),0)</f>
        <v>2367</v>
      </c>
      <c r="D22" s="19">
        <f>ROUND(SUMIFS(INDEX(Data_Detail[],0,MATCH(D$14,Data_Detail[#Headers],0)),Data_Detail[AEA],$A22,Data_Detail[FiscalYear],$K$2)/SUMIFS(INDEX(Data_Detail[],0,MATCH($E$26,Data_Detail[#Headers],0)),Data_Detail[AEA],$A22,Data_Detail[FiscalYear],$K$2)*
INDEX(Data[],MATCH($A22,Data[AEA],0),MATCH("Pay1 - Sept - May",Data[#Headers],0)),0)</f>
        <v>633</v>
      </c>
      <c r="E22" s="50">
        <f t="shared" si="4"/>
        <v>3000</v>
      </c>
      <c r="F22" s="22">
        <f>ROUND(SUMIFS(INDEX(Data_Detail[],0,MATCH(F$14,Data_Detail[#Headers],0)),Data_Detail[AEA],$A22,Data_Detail[FiscalYear],$K$2)/SUMIFS(INDEX(Data_Detail[],0,MATCH($E$26,Data_Detail[#Headers],0)),Data_Detail[AEA],$A22,Data_Detail[FiscalYear],$K$2)*
INDEX(Data[],MATCH($A22,Data[AEA],0),MATCH("Pay1 - Sept - May",Data[#Headers],0)),0)</f>
        <v>150600</v>
      </c>
      <c r="G22" s="60"/>
    </row>
    <row r="23" spans="1:13" x14ac:dyDescent="0.25">
      <c r="A23" s="11" t="str">
        <f t="shared" si="3"/>
        <v>15</v>
      </c>
      <c r="B23" s="11" t="str">
        <f t="shared" si="3"/>
        <v>Great Prairie AEA 15</v>
      </c>
      <c r="C23" s="22">
        <f>ROUND(SUMIFS(INDEX(Data_Detail[],0,MATCH(C$14,Data_Detail[#Headers],0)),Data_Detail[AEA],$A23,Data_Detail[FiscalYear],$K$2)/SUMIFS(INDEX(Data_Detail[],0,MATCH($E$26,Data_Detail[#Headers],0)),Data_Detail[AEA],$A23,Data_Detail[FiscalYear],$K$2)*
INDEX(Data[],MATCH($A23,Data[AEA],0),MATCH("Pay1 - Sept - May",Data[#Headers],0)),0)</f>
        <v>2385</v>
      </c>
      <c r="D23" s="19">
        <f>ROUND(SUMIFS(INDEX(Data_Detail[],0,MATCH(D$14,Data_Detail[#Headers],0)),Data_Detail[AEA],$A23,Data_Detail[FiscalYear],$K$2)/SUMIFS(INDEX(Data_Detail[],0,MATCH($E$26,Data_Detail[#Headers],0)),Data_Detail[AEA],$A23,Data_Detail[FiscalYear],$K$2)*
INDEX(Data[],MATCH($A23,Data[AEA],0),MATCH("Pay1 - Sept - May",Data[#Headers],0)),0)</f>
        <v>615</v>
      </c>
      <c r="E23" s="50">
        <f t="shared" si="4"/>
        <v>3000</v>
      </c>
      <c r="F23" s="22">
        <f>ROUND(SUMIFS(INDEX(Data_Detail[],0,MATCH(F$14,Data_Detail[#Headers],0)),Data_Detail[AEA],$A23,Data_Detail[FiscalYear],$K$2)/SUMIFS(INDEX(Data_Detail[],0,MATCH($E$26,Data_Detail[#Headers],0)),Data_Detail[AEA],$A23,Data_Detail[FiscalYear],$K$2)*
INDEX(Data[],MATCH($A23,Data[AEA],0),MATCH("Pay1 - Sept - May",Data[#Headers],0)),0)</f>
        <v>130893</v>
      </c>
      <c r="G23" s="60"/>
    </row>
    <row r="24" spans="1:13" ht="15.75" thickBot="1" x14ac:dyDescent="0.3">
      <c r="C24" s="46">
        <f>SUM(C15:C23)</f>
        <v>16422</v>
      </c>
      <c r="D24" s="20">
        <f>SUM(D15:D23)</f>
        <v>4578</v>
      </c>
      <c r="E24" s="20">
        <f>SUM(E15:E23)</f>
        <v>21000</v>
      </c>
      <c r="F24" s="46">
        <f>SUM(F15:F23)</f>
        <v>1856447</v>
      </c>
      <c r="G24" s="61"/>
      <c r="K24" t="s">
        <v>763</v>
      </c>
    </row>
    <row r="25" spans="1:13" ht="7.5" customHeight="1" thickTop="1" x14ac:dyDescent="0.25">
      <c r="F25" s="6"/>
      <c r="G25" s="6"/>
      <c r="H25" s="6"/>
    </row>
    <row r="26" spans="1:13" ht="30" customHeight="1" x14ac:dyDescent="0.25">
      <c r="A26" s="17" t="str">
        <f t="shared" ref="A26:B35" si="5">A14</f>
        <v>AEA</v>
      </c>
      <c r="B26" s="17"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1" t="str">
        <f>Data_Detail[[#Headers],[State Aid Portion]]</f>
        <v>State Aid Portion</v>
      </c>
      <c r="G26" s="9" t="str">
        <f>Data_Detail[[#Headers],[Property Tax Portion]]</f>
        <v>Property Tax Portion</v>
      </c>
      <c r="K26" s="59" t="s">
        <v>78</v>
      </c>
      <c r="L26" s="21" t="s">
        <v>732</v>
      </c>
      <c r="M26" s="9" t="s">
        <v>733</v>
      </c>
    </row>
    <row r="27" spans="1:13" x14ac:dyDescent="0.25">
      <c r="A27" s="11" t="str">
        <f t="shared" si="5"/>
        <v>01</v>
      </c>
      <c r="B27" s="11" t="str">
        <f t="shared" si="5"/>
        <v>Keystone AEA 1</v>
      </c>
      <c r="C27" s="19">
        <f>ROUND(SUMIFS(INDEX(Data_Detail[],0,MATCH(C$26,Data_Detail[#Headers],0)),Data_Detail[AEA],$A27,Data_Detail[FiscalYear],$K$2)/SUMIFS(INDEX(Data_Detail[],0,MATCH($E$26,Data_Detail[#Headers],0)),Data_Detail[AEA],$A27,Data_Detail[FiscalYear],$K$2)*
INDEX(Data[],MATCH($A27,Data[AEA],0),MATCH("Pay1 - Sept - May",Data[#Headers],0)),0)</f>
        <v>80773</v>
      </c>
      <c r="D27" s="19">
        <f>ROUND(SUMIFS(INDEX(Data_Detail[],0,MATCH(D$26,Data_Detail[#Headers],0)),Data_Detail[AEA],$A27,Data_Detail[FiscalYear],$K$2)/SUMIFS(INDEX(Data_Detail[],0,MATCH($E$26,Data_Detail[#Headers],0)),Data_Detail[AEA],$A27,Data_Detail[FiscalYear],$K$2)*
INDEX(Data[],MATCH($A27,Data[AEA],0),MATCH("Pay1 - Sept - May",Data[#Headers],0)),0)</f>
        <v>89975</v>
      </c>
      <c r="E27" s="49">
        <f>INDEX(Data[],MATCH($A27,Data[AEA],0),MATCH("Pay1 - Sept - May",Data[#Headers],0))</f>
        <v>1247271</v>
      </c>
      <c r="F27" s="48">
        <f>F3+C15+F15</f>
        <v>795941</v>
      </c>
      <c r="G27" s="50">
        <f>G3+H3+D15+C27+D27</f>
        <v>451330</v>
      </c>
      <c r="K27" s="6">
        <f t="shared" ref="K27:K36" si="6">E27-D27-C27-G15-F15-E15-H3-G3-F3</f>
        <v>0</v>
      </c>
      <c r="L27" s="6">
        <f t="shared" ref="L27:L36" si="7">F27-G15-F15-C15-F3</f>
        <v>0</v>
      </c>
      <c r="M27" s="6">
        <f t="shared" ref="M27:M36" si="8">G27-D27-C27-D15-H3-G3</f>
        <v>0</v>
      </c>
    </row>
    <row r="28" spans="1:13" x14ac:dyDescent="0.25">
      <c r="A28" s="11" t="str">
        <f t="shared" si="5"/>
        <v>05</v>
      </c>
      <c r="B28" s="11" t="str">
        <f t="shared" si="5"/>
        <v>Prairie Lakes AEA 8</v>
      </c>
      <c r="C28" s="19">
        <f>ROUND(SUMIFS(INDEX(Data_Detail[],0,MATCH(C$26,Data_Detail[#Headers],0)),Data_Detail[AEA],$A28,Data_Detail[FiscalYear],$K$2)/SUMIFS(INDEX(Data_Detail[],0,MATCH($E$26,Data_Detail[#Headers],0)),Data_Detail[AEA],$A28,Data_Detail[FiscalYear],$K$2)*
INDEX(Data[],MATCH($A28,Data[AEA],0),MATCH("Pay1 - Sept - May",Data[#Headers],0)),0)</f>
        <v>81674</v>
      </c>
      <c r="D28" s="19">
        <f>ROUND(SUMIFS(INDEX(Data_Detail[],0,MATCH(D$26,Data_Detail[#Headers],0)),Data_Detail[AEA],$A28,Data_Detail[FiscalYear],$K$2)/SUMIFS(INDEX(Data_Detail[],0,MATCH($E$26,Data_Detail[#Headers],0)),Data_Detail[AEA],$A28,Data_Detail[FiscalYear],$K$2)*
INDEX(Data[],MATCH($A28,Data[AEA],0),MATCH("Pay1 - Sept - May",Data[#Headers],0)),0)</f>
        <v>91464</v>
      </c>
      <c r="E28" s="49">
        <f>INDEX(Data[],MATCH($A28,Data[AEA],0),MATCH("Pay1 - Sept - May",Data[#Headers],0))</f>
        <v>1300785</v>
      </c>
      <c r="F28" s="48">
        <f t="shared" ref="F28:F35" si="9">F4+C16+F16</f>
        <v>837071</v>
      </c>
      <c r="G28" s="50">
        <f t="shared" ref="G28:G35" si="10">G4+H4+D16+C28+D28</f>
        <v>463714</v>
      </c>
      <c r="K28" s="6">
        <f t="shared" si="6"/>
        <v>0</v>
      </c>
      <c r="L28" s="6">
        <f t="shared" si="7"/>
        <v>0</v>
      </c>
      <c r="M28" s="6">
        <f t="shared" si="8"/>
        <v>0</v>
      </c>
    </row>
    <row r="29" spans="1:13" x14ac:dyDescent="0.25">
      <c r="A29" s="11" t="str">
        <f t="shared" si="5"/>
        <v>07</v>
      </c>
      <c r="B29" s="11" t="str">
        <f t="shared" si="5"/>
        <v>Central Rivers</v>
      </c>
      <c r="C29" s="19">
        <f>ROUND(SUMIFS(INDEX(Data_Detail[],0,MATCH(C$26,Data_Detail[#Headers],0)),Data_Detail[AEA],$A29,Data_Detail[FiscalYear],$K$2)/SUMIFS(INDEX(Data_Detail[],0,MATCH($E$26,Data_Detail[#Headers],0)),Data_Detail[AEA],$A29,Data_Detail[FiscalYear],$K$2)*
INDEX(Data[],MATCH($A29,Data[AEA],0),MATCH("Pay1 - Sept - May",Data[#Headers],0)),0)</f>
        <v>164593</v>
      </c>
      <c r="D29" s="19">
        <f>ROUND(SUMIFS(INDEX(Data_Detail[],0,MATCH(D$26,Data_Detail[#Headers],0)),Data_Detail[AEA],$A29,Data_Detail[FiscalYear],$K$2)/SUMIFS(INDEX(Data_Detail[],0,MATCH($E$26,Data_Detail[#Headers],0)),Data_Detail[AEA],$A29,Data_Detail[FiscalYear],$K$2)*
INDEX(Data[],MATCH($A29,Data[AEA],0),MATCH("Pay1 - Sept - May",Data[#Headers],0)),0)</f>
        <v>183489</v>
      </c>
      <c r="E29" s="49">
        <f>INDEX(Data[],MATCH($A29,Data[AEA],0),MATCH("Pay1 - Sept - May",Data[#Headers],0))</f>
        <v>2677398</v>
      </c>
      <c r="F29" s="48">
        <f t="shared" si="9"/>
        <v>1785487</v>
      </c>
      <c r="G29" s="50">
        <f t="shared" si="10"/>
        <v>891911</v>
      </c>
      <c r="K29" s="6">
        <f t="shared" si="6"/>
        <v>0</v>
      </c>
      <c r="L29" s="6">
        <f t="shared" si="7"/>
        <v>0</v>
      </c>
      <c r="M29" s="6">
        <f t="shared" si="8"/>
        <v>0</v>
      </c>
    </row>
    <row r="30" spans="1:13" x14ac:dyDescent="0.25">
      <c r="A30" s="11" t="str">
        <f t="shared" si="5"/>
        <v>09</v>
      </c>
      <c r="B30" s="11" t="str">
        <f t="shared" si="5"/>
        <v>Mississippi Bend AEA 9</v>
      </c>
      <c r="C30" s="19">
        <f>ROUND(SUMIFS(INDEX(Data_Detail[],0,MATCH(C$26,Data_Detail[#Headers],0)),Data_Detail[AEA],$A30,Data_Detail[FiscalYear],$K$2)/SUMIFS(INDEX(Data_Detail[],0,MATCH($E$26,Data_Detail[#Headers],0)),Data_Detail[AEA],$A30,Data_Detail[FiscalYear],$K$2)*
INDEX(Data[],MATCH($A30,Data[AEA],0),MATCH("Pay1 - Sept - May",Data[#Headers],0)),0)</f>
        <v>121574</v>
      </c>
      <c r="D30" s="19">
        <f>ROUND(SUMIFS(INDEX(Data_Detail[],0,MATCH(D$26,Data_Detail[#Headers],0)),Data_Detail[AEA],$A30,Data_Detail[FiscalYear],$K$2)/SUMIFS(INDEX(Data_Detail[],0,MATCH($E$26,Data_Detail[#Headers],0)),Data_Detail[AEA],$A30,Data_Detail[FiscalYear],$K$2)*
INDEX(Data[],MATCH($A30,Data[AEA],0),MATCH("Pay1 - Sept - May",Data[#Headers],0)),0)</f>
        <v>132902</v>
      </c>
      <c r="E30" s="49">
        <f>INDEX(Data[],MATCH($A30,Data[AEA],0),MATCH("Pay1 - Sept - May",Data[#Headers],0))</f>
        <v>1879064</v>
      </c>
      <c r="F30" s="48">
        <f t="shared" si="9"/>
        <v>1240065</v>
      </c>
      <c r="G30" s="50">
        <f t="shared" si="10"/>
        <v>638999</v>
      </c>
      <c r="K30" s="6">
        <f t="shared" si="6"/>
        <v>0</v>
      </c>
      <c r="L30" s="6">
        <f t="shared" si="7"/>
        <v>0</v>
      </c>
      <c r="M30" s="6">
        <f t="shared" si="8"/>
        <v>0</v>
      </c>
    </row>
    <row r="31" spans="1:13" x14ac:dyDescent="0.25">
      <c r="A31" s="11" t="str">
        <f t="shared" si="5"/>
        <v>10</v>
      </c>
      <c r="B31" s="11" t="str">
        <f t="shared" si="5"/>
        <v>Grant Wood AEA 10</v>
      </c>
      <c r="C31" s="19">
        <f>ROUND(SUMIFS(INDEX(Data_Detail[],0,MATCH(C$26,Data_Detail[#Headers],0)),Data_Detail[AEA],$A31,Data_Detail[FiscalYear],$K$2)/SUMIFS(INDEX(Data_Detail[],0,MATCH($E$26,Data_Detail[#Headers],0)),Data_Detail[AEA],$A31,Data_Detail[FiscalYear],$K$2)*
INDEX(Data[],MATCH($A31,Data[AEA],0),MATCH("Pay1 - Sept - May",Data[#Headers],0)),0)</f>
        <v>188584</v>
      </c>
      <c r="D31" s="19">
        <f>ROUND(SUMIFS(INDEX(Data_Detail[],0,MATCH(D$26,Data_Detail[#Headers],0)),Data_Detail[AEA],$A31,Data_Detail[FiscalYear],$K$2)/SUMIFS(INDEX(Data_Detail[],0,MATCH($E$26,Data_Detail[#Headers],0)),Data_Detail[AEA],$A31,Data_Detail[FiscalYear],$K$2)*
INDEX(Data[],MATCH($A31,Data[AEA],0),MATCH("Pay1 - Sept - May",Data[#Headers],0)),0)</f>
        <v>207351</v>
      </c>
      <c r="E31" s="49">
        <f>INDEX(Data[],MATCH($A31,Data[AEA],0),MATCH("Pay1 - Sept - May",Data[#Headers],0))</f>
        <v>2852780</v>
      </c>
      <c r="F31" s="48">
        <f t="shared" si="9"/>
        <v>1892188</v>
      </c>
      <c r="G31" s="50">
        <f t="shared" si="10"/>
        <v>960592</v>
      </c>
      <c r="K31" s="6">
        <f t="shared" si="6"/>
        <v>0</v>
      </c>
      <c r="L31" s="6">
        <f t="shared" si="7"/>
        <v>0</v>
      </c>
      <c r="M31" s="6">
        <f t="shared" si="8"/>
        <v>0</v>
      </c>
    </row>
    <row r="32" spans="1:13" x14ac:dyDescent="0.25">
      <c r="A32" s="11" t="str">
        <f t="shared" si="5"/>
        <v>11</v>
      </c>
      <c r="B32" s="11" t="str">
        <f t="shared" si="5"/>
        <v>Heartland AEA 11</v>
      </c>
      <c r="C32" s="19">
        <f>ROUND(SUMIFS(INDEX(Data_Detail[],0,MATCH(C$26,Data_Detail[#Headers],0)),Data_Detail[AEA],$A32,Data_Detail[FiscalYear],$K$2)/SUMIFS(INDEX(Data_Detail[],0,MATCH($E$26,Data_Detail[#Headers],0)),Data_Detail[AEA],$A32,Data_Detail[FiscalYear],$K$2)*
INDEX(Data[],MATCH($A32,Data[AEA],0),MATCH("Pay1 - Sept - May",Data[#Headers],0)),0)</f>
        <v>388408</v>
      </c>
      <c r="D32" s="19">
        <f>ROUND(SUMIFS(INDEX(Data_Detail[],0,MATCH(D$26,Data_Detail[#Headers],0)),Data_Detail[AEA],$A32,Data_Detail[FiscalYear],$K$2)/SUMIFS(INDEX(Data_Detail[],0,MATCH($E$26,Data_Detail[#Headers],0)),Data_Detail[AEA],$A32,Data_Detail[FiscalYear],$K$2)*
INDEX(Data[],MATCH($A32,Data[AEA],0),MATCH("Pay1 - Sept - May",Data[#Headers],0)),0)</f>
        <v>426766</v>
      </c>
      <c r="E32" s="49">
        <f>INDEX(Data[],MATCH($A32,Data[AEA],0),MATCH("Pay1 - Sept - May",Data[#Headers],0))</f>
        <v>5730422</v>
      </c>
      <c r="F32" s="48">
        <f t="shared" si="9"/>
        <v>3873152</v>
      </c>
      <c r="G32" s="50">
        <f t="shared" si="10"/>
        <v>1857270</v>
      </c>
      <c r="K32" s="6">
        <f t="shared" si="6"/>
        <v>0</v>
      </c>
      <c r="L32" s="6">
        <f t="shared" si="7"/>
        <v>0</v>
      </c>
      <c r="M32" s="6">
        <f t="shared" si="8"/>
        <v>0</v>
      </c>
    </row>
    <row r="33" spans="1:13" x14ac:dyDescent="0.25">
      <c r="A33" s="11" t="str">
        <f t="shared" si="5"/>
        <v>12</v>
      </c>
      <c r="B33" s="11" t="str">
        <f t="shared" si="5"/>
        <v>Northwest AEA</v>
      </c>
      <c r="C33" s="19">
        <f>ROUND(SUMIFS(INDEX(Data_Detail[],0,MATCH(C$26,Data_Detail[#Headers],0)),Data_Detail[AEA],$A33,Data_Detail[FiscalYear],$K$2)/SUMIFS(INDEX(Data_Detail[],0,MATCH($E$26,Data_Detail[#Headers],0)),Data_Detail[AEA],$A33,Data_Detail[FiscalYear],$K$2)*
INDEX(Data[],MATCH($A33,Data[AEA],0),MATCH("Pay1 - Sept - May",Data[#Headers],0)),0)</f>
        <v>115026</v>
      </c>
      <c r="D33" s="19">
        <f>ROUND(SUMIFS(INDEX(Data_Detail[],0,MATCH(D$26,Data_Detail[#Headers],0)),Data_Detail[AEA],$A33,Data_Detail[FiscalYear],$K$2)/SUMIFS(INDEX(Data_Detail[],0,MATCH($E$26,Data_Detail[#Headers],0)),Data_Detail[AEA],$A33,Data_Detail[FiscalYear],$K$2)*
INDEX(Data[],MATCH($A33,Data[AEA],0),MATCH("Pay1 - Sept - May",Data[#Headers],0)),0)</f>
        <v>128775</v>
      </c>
      <c r="E33" s="49">
        <f>INDEX(Data[],MATCH($A33,Data[AEA],0),MATCH("Pay1 - Sept - May",Data[#Headers],0))</f>
        <v>1725114</v>
      </c>
      <c r="F33" s="48">
        <f t="shared" si="9"/>
        <v>1116228</v>
      </c>
      <c r="G33" s="50">
        <f t="shared" si="10"/>
        <v>608886</v>
      </c>
      <c r="K33" s="6">
        <f t="shared" si="6"/>
        <v>0</v>
      </c>
      <c r="L33" s="6">
        <f t="shared" si="7"/>
        <v>0</v>
      </c>
      <c r="M33" s="6">
        <f t="shared" si="8"/>
        <v>0</v>
      </c>
    </row>
    <row r="34" spans="1:13" x14ac:dyDescent="0.25">
      <c r="A34" s="11" t="str">
        <f t="shared" si="5"/>
        <v>13</v>
      </c>
      <c r="B34" s="11" t="str">
        <f t="shared" si="5"/>
        <v>Green Hills AEA 13</v>
      </c>
      <c r="C34" s="19">
        <f>ROUND(SUMIFS(INDEX(Data_Detail[],0,MATCH(C$26,Data_Detail[#Headers],0)),Data_Detail[AEA],$A34,Data_Detail[FiscalYear],$K$2)/SUMIFS(INDEX(Data_Detail[],0,MATCH($E$26,Data_Detail[#Headers],0)),Data_Detail[AEA],$A34,Data_Detail[FiscalYear],$K$2)*
INDEX(Data[],MATCH($A34,Data[AEA],0),MATCH("Pay1 - Sept - May",Data[#Headers],0)),0)</f>
        <v>96092</v>
      </c>
      <c r="D34" s="19">
        <f>ROUND(SUMIFS(INDEX(Data_Detail[],0,MATCH(D$26,Data_Detail[#Headers],0)),Data_Detail[AEA],$A34,Data_Detail[FiscalYear],$K$2)/SUMIFS(INDEX(Data_Detail[],0,MATCH($E$26,Data_Detail[#Headers],0)),Data_Detail[AEA],$A34,Data_Detail[FiscalYear],$K$2)*
INDEX(Data[],MATCH($A34,Data[AEA],0),MATCH("Pay1 - Sept - May",Data[#Headers],0)),0)</f>
        <v>106242</v>
      </c>
      <c r="E34" s="49">
        <f>INDEX(Data[],MATCH($A34,Data[AEA],0),MATCH("Pay1 - Sept - May",Data[#Headers],0))</f>
        <v>1573907</v>
      </c>
      <c r="F34" s="48">
        <f t="shared" si="9"/>
        <v>1052733</v>
      </c>
      <c r="G34" s="50">
        <f t="shared" si="10"/>
        <v>521174</v>
      </c>
      <c r="K34" s="6">
        <f t="shared" si="6"/>
        <v>0</v>
      </c>
      <c r="L34" s="6">
        <f t="shared" si="7"/>
        <v>0</v>
      </c>
      <c r="M34" s="6">
        <f t="shared" si="8"/>
        <v>0</v>
      </c>
    </row>
    <row r="35" spans="1:13" x14ac:dyDescent="0.25">
      <c r="A35" s="11" t="str">
        <f t="shared" si="5"/>
        <v>15</v>
      </c>
      <c r="B35" s="11" t="str">
        <f t="shared" si="5"/>
        <v>Great Prairie AEA 15</v>
      </c>
      <c r="C35" s="19">
        <f>ROUND(SUMIFS(INDEX(Data_Detail[],0,MATCH(C$26,Data_Detail[#Headers],0)),Data_Detail[AEA],$A35,Data_Detail[FiscalYear],$K$2)/SUMIFS(INDEX(Data_Detail[],0,MATCH($E$26,Data_Detail[#Headers],0)),Data_Detail[AEA],$A35,Data_Detail[FiscalYear],$K$2)*
INDEX(Data[],MATCH($A35,Data[AEA],0),MATCH("Pay1 - Sept - May",Data[#Headers],0)),0)</f>
        <v>88562</v>
      </c>
      <c r="D35" s="19">
        <f>ROUND(SUMIFS(INDEX(Data_Detail[],0,MATCH(D$26,Data_Detail[#Headers],0)),Data_Detail[AEA],$A35,Data_Detail[FiscalYear],$K$2)/SUMIFS(INDEX(Data_Detail[],0,MATCH($E$26,Data_Detail[#Headers],0)),Data_Detail[AEA],$A35,Data_Detail[FiscalYear],$K$2)*
INDEX(Data[],MATCH($A35,Data[AEA],0),MATCH("Pay1 - Sept - May",Data[#Headers],0)),0)</f>
        <v>97364</v>
      </c>
      <c r="E35" s="49">
        <f>INDEX(Data[],MATCH($A35,Data[AEA],0),MATCH("Pay1 - Sept - May",Data[#Headers],0))</f>
        <v>1403371</v>
      </c>
      <c r="F35" s="48">
        <f t="shared" si="9"/>
        <v>938962</v>
      </c>
      <c r="G35" s="54">
        <f t="shared" si="10"/>
        <v>464409</v>
      </c>
      <c r="K35" s="6">
        <f t="shared" si="6"/>
        <v>0</v>
      </c>
      <c r="L35" s="6">
        <f t="shared" si="7"/>
        <v>0</v>
      </c>
      <c r="M35" s="6">
        <f t="shared" si="8"/>
        <v>0</v>
      </c>
    </row>
    <row r="36" spans="1:13" ht="15.75" thickBot="1" x14ac:dyDescent="0.3">
      <c r="C36" s="20">
        <f t="shared" ref="C36:E36" si="11">SUM(C27:C35)</f>
        <v>1325286</v>
      </c>
      <c r="D36" s="20">
        <f t="shared" si="11"/>
        <v>1464328</v>
      </c>
      <c r="E36" s="16">
        <f t="shared" si="11"/>
        <v>20390112</v>
      </c>
      <c r="F36" s="57">
        <f>SUM(F27:F35)</f>
        <v>13531827</v>
      </c>
      <c r="G36" s="55">
        <f>SUM(G27:G35)</f>
        <v>6858285</v>
      </c>
      <c r="K36" s="6">
        <f t="shared" si="6"/>
        <v>0</v>
      </c>
      <c r="L36" s="6">
        <f t="shared" si="7"/>
        <v>0</v>
      </c>
      <c r="M36" s="6">
        <f t="shared" si="8"/>
        <v>0</v>
      </c>
    </row>
    <row r="37" spans="1:13" ht="15.75" thickTop="1" x14ac:dyDescent="0.25"/>
    <row r="39" spans="1:13" x14ac:dyDescent="0.25">
      <c r="H39" s="6"/>
    </row>
  </sheetData>
  <sheetProtection sheet="1" objects="1" scenarios="1"/>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153F6-87C9-499F-922A-FFB36F150567}">
  <sheetPr>
    <tabColor rgb="FF92D050"/>
    <pageSetUpPr fitToPage="1"/>
  </sheetPr>
  <dimension ref="A1:M39"/>
  <sheetViews>
    <sheetView topLeftCell="A2"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12" hidden="1" customWidth="1"/>
    <col min="12" max="12" width="11" hidden="1" customWidth="1"/>
    <col min="13" max="13" width="12.140625" hidden="1" customWidth="1"/>
  </cols>
  <sheetData>
    <row r="1" spans="1:11" ht="45" customHeight="1" x14ac:dyDescent="0.25">
      <c r="A1" s="64" t="str">
        <f>_xlfn.CONCAT("FY ",K2," AEA Enrollments and Cost - Final - State Aid and Property Tax Breakdown - June Payment")</f>
        <v>FY 2025 AEA Enrollments and Cost - Final - State Aid and Property Tax Breakdown - June Payment</v>
      </c>
      <c r="B1" s="64"/>
      <c r="C1" s="64"/>
      <c r="D1" s="64"/>
      <c r="E1" s="64"/>
      <c r="F1" s="64"/>
      <c r="G1" s="64"/>
      <c r="H1" s="64"/>
      <c r="I1" s="64"/>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1"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2025</v>
      </c>
    </row>
    <row r="3" spans="1:11" x14ac:dyDescent="0.25">
      <c r="A3" s="18" t="str">
        <f>Data!A2</f>
        <v>01</v>
      </c>
      <c r="B3" s="11" t="str">
        <f>INDEX(Data_Detail[],MATCH(PaymentCodingDetail_June!$A3,Data_Detail[AEA],0),3)</f>
        <v>Keystone AEA 1</v>
      </c>
      <c r="C3" s="12">
        <f>PaymentCodingTotal!C3-('PaymentCodingDetail_Sept-May'!C3*9)</f>
        <v>1147730</v>
      </c>
      <c r="D3" s="12">
        <f>PaymentCodingTotal!D3-('PaymentCodingDetail_Sept-May'!D3*9)</f>
        <v>869290</v>
      </c>
      <c r="E3" s="12">
        <f>PaymentCodingTotal!E3-('PaymentCodingDetail_Sept-May'!E3*9)</f>
        <v>189502</v>
      </c>
      <c r="F3" s="48">
        <f>D3-E3</f>
        <v>679788</v>
      </c>
      <c r="G3" s="19">
        <f>PaymentCodingTotal!G3-('PaymentCodingDetail_Sept-May'!G3*9)</f>
        <v>278431</v>
      </c>
      <c r="H3" s="19">
        <f>PaymentCodingTotal!H3-('PaymentCodingDetail_Sept-May'!H3*9)</f>
        <v>1419</v>
      </c>
      <c r="I3" s="47">
        <f>SUM(F3:H3)</f>
        <v>959638</v>
      </c>
      <c r="K3" s="6">
        <f>G12+D24+H12+C36+D36-G36</f>
        <v>0</v>
      </c>
    </row>
    <row r="4" spans="1:11" x14ac:dyDescent="0.25">
      <c r="A4" s="18" t="str">
        <f>Data!A3</f>
        <v>05</v>
      </c>
      <c r="B4" s="11" t="str">
        <f>INDEX(Data_Detail[],MATCH(PaymentCodingDetail_June!$A4,Data_Detail[AEA],0),3)</f>
        <v>Prairie Lakes AEA 8</v>
      </c>
      <c r="C4" s="12">
        <f>PaymentCodingTotal!C4-('PaymentCodingDetail_Sept-May'!C4*9)</f>
        <v>1185490</v>
      </c>
      <c r="D4" s="12">
        <f>PaymentCodingTotal!D4-('PaymentCodingDetail_Sept-May'!D4*9)</f>
        <v>908741</v>
      </c>
      <c r="E4" s="12">
        <f>PaymentCodingTotal!E4-('PaymentCodingDetail_Sept-May'!E4*9)</f>
        <v>198093</v>
      </c>
      <c r="F4" s="48">
        <f t="shared" ref="F4:F11" si="0">D4-E4</f>
        <v>710648</v>
      </c>
      <c r="G4" s="19">
        <f>PaymentCodingTotal!G4-('PaymentCodingDetail_Sept-May'!G4*9)</f>
        <v>276758</v>
      </c>
      <c r="H4" s="19">
        <f>PaymentCodingTotal!H4-('PaymentCodingDetail_Sept-May'!H4*9)</f>
        <v>13814</v>
      </c>
      <c r="I4" s="47">
        <f t="shared" ref="I4:I11" si="1">SUM(F4:H4)</f>
        <v>1001220</v>
      </c>
      <c r="K4" s="6">
        <f>F12+C24+F24+G24-F36</f>
        <v>0</v>
      </c>
    </row>
    <row r="5" spans="1:11" x14ac:dyDescent="0.25">
      <c r="A5" s="18" t="str">
        <f>Data!A4</f>
        <v>07</v>
      </c>
      <c r="B5" s="11" t="str">
        <f>INDEX(Data_Detail[],MATCH(PaymentCodingDetail_June!$A5,Data_Detail[AEA],0),3)</f>
        <v>Central Rivers</v>
      </c>
      <c r="C5" s="12">
        <f>PaymentCodingTotal!C5-('PaymentCodingDetail_Sept-May'!C5*9)</f>
        <v>2428160</v>
      </c>
      <c r="D5" s="12">
        <f>PaymentCodingTotal!D5-('PaymentCodingDetail_Sept-May'!D5*9)</f>
        <v>1896998</v>
      </c>
      <c r="E5" s="12">
        <f>PaymentCodingTotal!E5-('PaymentCodingDetail_Sept-May'!E5*9)</f>
        <v>413531</v>
      </c>
      <c r="F5" s="48">
        <f t="shared" si="0"/>
        <v>1483467</v>
      </c>
      <c r="G5" s="19">
        <f>PaymentCodingTotal!G5-('PaymentCodingDetail_Sept-May'!G5*9)</f>
        <v>531162</v>
      </c>
      <c r="H5" s="19">
        <f>PaymentCodingTotal!H5-('PaymentCodingDetail_Sept-May'!H5*9)</f>
        <v>12008</v>
      </c>
      <c r="I5" s="47">
        <f t="shared" si="1"/>
        <v>2026637</v>
      </c>
      <c r="K5" s="6">
        <f>F12+E12-D12</f>
        <v>0</v>
      </c>
    </row>
    <row r="6" spans="1:11" x14ac:dyDescent="0.25">
      <c r="A6" s="18" t="str">
        <f>Data!A5</f>
        <v>09</v>
      </c>
      <c r="B6" s="11" t="str">
        <f>INDEX(Data_Detail[],MATCH(PaymentCodingDetail_June!$A6,Data_Detail[AEA],0),3)</f>
        <v>Mississippi Bend AEA 9</v>
      </c>
      <c r="C6" s="12">
        <f>PaymentCodingTotal!C6-('PaymentCodingDetail_Sept-May'!C6*9)</f>
        <v>1749453</v>
      </c>
      <c r="D6" s="12">
        <f>PaymentCodingTotal!D6-('PaymentCodingDetail_Sept-May'!D6*9)</f>
        <v>1376151</v>
      </c>
      <c r="E6" s="12">
        <f>PaymentCodingTotal!E6-('PaymentCodingDetail_Sept-May'!E6*9)</f>
        <v>299993</v>
      </c>
      <c r="F6" s="48">
        <f t="shared" si="0"/>
        <v>1076158</v>
      </c>
      <c r="G6" s="19">
        <f>PaymentCodingTotal!G6-('PaymentCodingDetail_Sept-May'!G6*9)</f>
        <v>373302</v>
      </c>
      <c r="H6" s="19">
        <f>PaymentCodingTotal!H6-('PaymentCodingDetail_Sept-May'!H6*9)</f>
        <v>10585</v>
      </c>
      <c r="I6" s="47">
        <f t="shared" si="1"/>
        <v>1460045</v>
      </c>
      <c r="K6" s="6">
        <f>H12+G12+F12-I12</f>
        <v>0</v>
      </c>
    </row>
    <row r="7" spans="1:11" x14ac:dyDescent="0.25">
      <c r="A7" s="18" t="str">
        <f>Data!A6</f>
        <v>10</v>
      </c>
      <c r="B7" s="11" t="str">
        <f>INDEX(Data_Detail[],MATCH(PaymentCodingDetail_June!$A7,Data_Detail[AEA],0),3)</f>
        <v>Grant Wood AEA 10</v>
      </c>
      <c r="C7" s="12">
        <f>PaymentCodingTotal!C7-('PaymentCodingDetail_Sept-May'!C7*9)</f>
        <v>2648326</v>
      </c>
      <c r="D7" s="12">
        <f>PaymentCodingTotal!D7-('PaymentCodingDetail_Sept-May'!D7*9)</f>
        <v>2094946</v>
      </c>
      <c r="E7" s="12">
        <f>PaymentCodingTotal!E7-('PaymentCodingDetail_Sept-May'!E7*9)</f>
        <v>456679</v>
      </c>
      <c r="F7" s="48">
        <f t="shared" si="0"/>
        <v>1638267</v>
      </c>
      <c r="G7" s="19">
        <f>PaymentCodingTotal!G7-('PaymentCodingDetail_Sept-May'!G7*9)</f>
        <v>553380</v>
      </c>
      <c r="H7" s="19">
        <f>PaymentCodingTotal!H7-('PaymentCodingDetail_Sept-May'!H7*9)</f>
        <v>10654</v>
      </c>
      <c r="I7" s="47">
        <f t="shared" si="1"/>
        <v>2202301</v>
      </c>
      <c r="K7" s="6">
        <f>C24+D24-E24</f>
        <v>0</v>
      </c>
    </row>
    <row r="8" spans="1:11" x14ac:dyDescent="0.25">
      <c r="A8" s="18" t="str">
        <f>Data!A7</f>
        <v>11</v>
      </c>
      <c r="B8" s="11" t="str">
        <f>INDEX(Data_Detail[],MATCH(PaymentCodingDetail_June!$A8,Data_Detail[AEA],0),3)</f>
        <v>Heartland AEA 11</v>
      </c>
      <c r="C8" s="12">
        <f>PaymentCodingTotal!C8-('PaymentCodingDetail_Sept-May'!C8*9)</f>
        <v>5398937</v>
      </c>
      <c r="D8" s="12">
        <f>PaymentCodingTotal!D8-('PaymentCodingDetail_Sept-May'!D8*9)</f>
        <v>4361549</v>
      </c>
      <c r="E8" s="12">
        <f>PaymentCodingTotal!E8-('PaymentCodingDetail_Sept-May'!E8*9)</f>
        <v>950771</v>
      </c>
      <c r="F8" s="48">
        <f t="shared" si="0"/>
        <v>3410778</v>
      </c>
      <c r="G8" s="19">
        <f>PaymentCodingTotal!G8-('PaymentCodingDetail_Sept-May'!G8*9)</f>
        <v>1037397</v>
      </c>
      <c r="H8" s="19">
        <f>PaymentCodingTotal!H8-('PaymentCodingDetail_Sept-May'!H8*9)</f>
        <v>4690</v>
      </c>
      <c r="I8" s="47">
        <f t="shared" si="1"/>
        <v>4452865</v>
      </c>
    </row>
    <row r="9" spans="1:11" x14ac:dyDescent="0.25">
      <c r="A9" s="18" t="str">
        <f>Data!A8</f>
        <v>12</v>
      </c>
      <c r="B9" s="11" t="str">
        <f>INDEX(Data_Detail[],MATCH(PaymentCodingDetail_June!$A9,Data_Detail[AEA],0),3)</f>
        <v>Northwest AEA</v>
      </c>
      <c r="C9" s="12">
        <f>PaymentCodingTotal!C9-('PaymentCodingDetail_Sept-May'!C9*9)</f>
        <v>1576837</v>
      </c>
      <c r="D9" s="12">
        <f>PaymentCodingTotal!D9-('PaymentCodingDetail_Sept-May'!D9*9)</f>
        <v>1220391</v>
      </c>
      <c r="E9" s="12">
        <f>PaymentCodingTotal!E9-('PaymentCodingDetail_Sept-May'!E9*9)</f>
        <v>266034</v>
      </c>
      <c r="F9" s="48">
        <f t="shared" si="0"/>
        <v>954357</v>
      </c>
      <c r="G9" s="19">
        <f>PaymentCodingTotal!G9-('PaymentCodingDetail_Sept-May'!G9*9)</f>
        <v>356446</v>
      </c>
      <c r="H9" s="19">
        <f>PaymentCodingTotal!H9-('PaymentCodingDetail_Sept-May'!H9*9)</f>
        <v>7969</v>
      </c>
      <c r="I9" s="47">
        <f t="shared" si="1"/>
        <v>1318772</v>
      </c>
    </row>
    <row r="10" spans="1:11" x14ac:dyDescent="0.25">
      <c r="A10" s="18" t="str">
        <f>Data!A9</f>
        <v>13</v>
      </c>
      <c r="B10" s="11" t="str">
        <f>INDEX(Data_Detail[],MATCH(PaymentCodingDetail_June!$A10,Data_Detail[AEA],0),3)</f>
        <v>Green Hills AEA 13</v>
      </c>
      <c r="C10" s="12">
        <f>PaymentCodingTotal!C10-('PaymentCodingDetail_Sept-May'!C10*9)</f>
        <v>1458564</v>
      </c>
      <c r="D10" s="12">
        <f>PaymentCodingTotal!D10-('PaymentCodingDetail_Sept-May'!D10*9)</f>
        <v>1150552</v>
      </c>
      <c r="E10" s="12">
        <f>PaymentCodingTotal!E10-('PaymentCodingDetail_Sept-May'!E10*9)</f>
        <v>250810</v>
      </c>
      <c r="F10" s="48">
        <f t="shared" si="0"/>
        <v>899742</v>
      </c>
      <c r="G10" s="19">
        <f>PaymentCodingTotal!G10-('PaymentCodingDetail_Sept-May'!G10*9)</f>
        <v>308003</v>
      </c>
      <c r="H10" s="19">
        <f>PaymentCodingTotal!H10-('PaymentCodingDetail_Sept-May'!H10*9)</f>
        <v>10193</v>
      </c>
      <c r="I10" s="47">
        <f t="shared" si="1"/>
        <v>1217938</v>
      </c>
    </row>
    <row r="11" spans="1:11" x14ac:dyDescent="0.25">
      <c r="A11" s="18" t="str">
        <f>Data!A10</f>
        <v>15</v>
      </c>
      <c r="B11" s="11" t="str">
        <f>INDEX(Data_Detail[],MATCH(PaymentCodingDetail_June!$A11,Data_Detail[AEA],0),3)</f>
        <v>Great Prairie AEA 15</v>
      </c>
      <c r="C11" s="12">
        <f>PaymentCodingTotal!C11-('PaymentCodingDetail_Sept-May'!C11*9)</f>
        <v>1295996</v>
      </c>
      <c r="D11" s="12">
        <f>PaymentCodingTotal!D11-('PaymentCodingDetail_Sept-May'!D11*9)</f>
        <v>1030268</v>
      </c>
      <c r="E11" s="12">
        <f>PaymentCodingTotal!E11-('PaymentCodingDetail_Sept-May'!E11*9)</f>
        <v>224587</v>
      </c>
      <c r="F11" s="48">
        <f t="shared" si="0"/>
        <v>805681</v>
      </c>
      <c r="G11" s="19">
        <f>PaymentCodingTotal!G11-('PaymentCodingDetail_Sept-May'!G11*9)</f>
        <v>265728</v>
      </c>
      <c r="H11" s="19">
        <f>PaymentCodingTotal!H11-('PaymentCodingDetail_Sept-May'!H11*9)</f>
        <v>12129</v>
      </c>
      <c r="I11" s="47">
        <f t="shared" si="1"/>
        <v>1083538</v>
      </c>
    </row>
    <row r="12" spans="1:11" ht="15.75" thickBot="1" x14ac:dyDescent="0.3">
      <c r="C12" s="16">
        <f>SUM(C3:C11)</f>
        <v>18889493</v>
      </c>
      <c r="D12" s="16">
        <f t="shared" ref="D12:I12" si="2">SUM(D3:D11)</f>
        <v>14908886</v>
      </c>
      <c r="E12" s="16">
        <f t="shared" si="2"/>
        <v>3250000</v>
      </c>
      <c r="F12" s="37">
        <f t="shared" si="2"/>
        <v>11658886</v>
      </c>
      <c r="G12" s="20">
        <f t="shared" si="2"/>
        <v>3980607</v>
      </c>
      <c r="H12" s="20">
        <f>SUM(H3:H11)</f>
        <v>83461</v>
      </c>
      <c r="I12" s="16">
        <f t="shared" si="2"/>
        <v>15722954</v>
      </c>
    </row>
    <row r="13" spans="1:11" ht="7.5" customHeight="1" thickTop="1" x14ac:dyDescent="0.25"/>
    <row r="14" spans="1:11" ht="45" x14ac:dyDescent="0.25">
      <c r="A14" s="17" t="str">
        <f t="shared" ref="A14:B23" si="3">A2</f>
        <v>AEA</v>
      </c>
      <c r="B14" s="17" t="str">
        <f t="shared" si="3"/>
        <v>AEA Name</v>
      </c>
      <c r="C14" s="21"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1" t="str">
        <f>Data_Detail[[#Headers],[AEA Teacher Salary Supplement District Cost]]</f>
        <v>AEA Teacher Salary Supplement District Cost</v>
      </c>
      <c r="G14" s="21" t="str">
        <f>Data_Detail[[#Headers],[AEA Professional Development Supplement District Cost]]</f>
        <v>AEA Professional Development Supplement District Cost</v>
      </c>
    </row>
    <row r="15" spans="1:11" x14ac:dyDescent="0.25">
      <c r="A15" s="11" t="str">
        <f t="shared" si="3"/>
        <v>01</v>
      </c>
      <c r="B15" s="11" t="str">
        <f t="shared" si="3"/>
        <v>Keystone AEA 1</v>
      </c>
      <c r="C15" s="22">
        <f>PaymentCodingTotal!C15-('PaymentCodingDetail_Sept-May'!C15*9)</f>
        <v>2276</v>
      </c>
      <c r="D15" s="19">
        <f>PaymentCodingTotal!D15-('PaymentCodingDetail_Sept-May'!D15*9)</f>
        <v>725</v>
      </c>
      <c r="E15" s="50">
        <f>SUM(C15:D15)</f>
        <v>3001</v>
      </c>
      <c r="F15" s="22">
        <f>PaymentCodingTotal!F15-('PaymentCodingDetail_Sept-May'!F15*9)</f>
        <v>113866</v>
      </c>
      <c r="G15" s="22">
        <f>PaymentCodingTotal!G15-('PaymentCodingDetail_Sept-May'!G15*9)</f>
        <v>0</v>
      </c>
    </row>
    <row r="16" spans="1:11" x14ac:dyDescent="0.25">
      <c r="A16" s="11" t="str">
        <f t="shared" si="3"/>
        <v>05</v>
      </c>
      <c r="B16" s="11" t="str">
        <f t="shared" si="3"/>
        <v>Prairie Lakes AEA 8</v>
      </c>
      <c r="C16" s="22">
        <f>PaymentCodingTotal!C16-('PaymentCodingDetail_Sept-May'!C16*9)</f>
        <v>0</v>
      </c>
      <c r="D16" s="19">
        <f>PaymentCodingTotal!D16-('PaymentCodingDetail_Sept-May'!D16*9)</f>
        <v>0</v>
      </c>
      <c r="E16" s="50">
        <f t="shared" ref="E16:E23" si="4">SUM(C16:D16)</f>
        <v>0</v>
      </c>
      <c r="F16" s="22">
        <f>PaymentCodingTotal!F16-('PaymentCodingDetail_Sept-May'!F16*9)</f>
        <v>126432</v>
      </c>
      <c r="G16" s="22">
        <f>PaymentCodingTotal!G16-('PaymentCodingDetail_Sept-May'!G16*9)</f>
        <v>0</v>
      </c>
      <c r="H16" s="65" t="s">
        <v>79</v>
      </c>
    </row>
    <row r="17" spans="1:13" x14ac:dyDescent="0.25">
      <c r="A17" s="11" t="str">
        <f t="shared" si="3"/>
        <v>07</v>
      </c>
      <c r="B17" s="11" t="str">
        <f t="shared" si="3"/>
        <v>Central Rivers</v>
      </c>
      <c r="C17" s="22">
        <f>PaymentCodingTotal!C17-('PaymentCodingDetail_Sept-May'!C17*9)</f>
        <v>2346</v>
      </c>
      <c r="D17" s="19">
        <f>PaymentCodingTotal!D17-('PaymentCodingDetail_Sept-May'!D17*9)</f>
        <v>654</v>
      </c>
      <c r="E17" s="50">
        <f t="shared" si="4"/>
        <v>3000</v>
      </c>
      <c r="F17" s="22">
        <f>PaymentCodingTotal!F17-('PaymentCodingDetail_Sept-May'!F17*9)</f>
        <v>299659</v>
      </c>
      <c r="G17" s="22">
        <f>PaymentCodingTotal!G17-('PaymentCodingDetail_Sept-May'!G17*9)</f>
        <v>0</v>
      </c>
      <c r="H17" s="65"/>
    </row>
    <row r="18" spans="1:13" x14ac:dyDescent="0.25">
      <c r="A18" s="11" t="str">
        <f t="shared" si="3"/>
        <v>09</v>
      </c>
      <c r="B18" s="11" t="str">
        <f t="shared" si="3"/>
        <v>Mississippi Bend AEA 9</v>
      </c>
      <c r="C18" s="22">
        <f>PaymentCodingTotal!C18-('PaymentCodingDetail_Sept-May'!C18*9)</f>
        <v>2360</v>
      </c>
      <c r="D18" s="19">
        <f>PaymentCodingTotal!D18-('PaymentCodingDetail_Sept-May'!D18*9)</f>
        <v>641</v>
      </c>
      <c r="E18" s="50">
        <f t="shared" si="4"/>
        <v>3001</v>
      </c>
      <c r="F18" s="22">
        <f>PaymentCodingTotal!F18-('PaymentCodingDetail_Sept-May'!F18*9)</f>
        <v>161523</v>
      </c>
      <c r="G18" s="22">
        <f>PaymentCodingTotal!G18-('PaymentCodingDetail_Sept-May'!G18*9)</f>
        <v>0</v>
      </c>
      <c r="H18" s="66" t="s">
        <v>731</v>
      </c>
    </row>
    <row r="19" spans="1:13" x14ac:dyDescent="0.25">
      <c r="A19" s="11" t="str">
        <f t="shared" si="3"/>
        <v>10</v>
      </c>
      <c r="B19" s="11" t="str">
        <f t="shared" si="3"/>
        <v>Grant Wood AEA 10</v>
      </c>
      <c r="C19" s="22">
        <f>PaymentCodingTotal!C19-('PaymentCodingDetail_Sept-May'!C19*9)</f>
        <v>2375</v>
      </c>
      <c r="D19" s="19">
        <f>PaymentCodingTotal!D19-('PaymentCodingDetail_Sept-May'!D19*9)</f>
        <v>625</v>
      </c>
      <c r="E19" s="50">
        <f t="shared" si="4"/>
        <v>3000</v>
      </c>
      <c r="F19" s="22">
        <f>PaymentCodingTotal!F19-('PaymentCodingDetail_Sept-May'!F19*9)</f>
        <v>251551</v>
      </c>
      <c r="G19" s="22">
        <f>PaymentCodingTotal!G19-('PaymentCodingDetail_Sept-May'!G19*9)</f>
        <v>0</v>
      </c>
      <c r="H19" s="66"/>
    </row>
    <row r="20" spans="1:13" x14ac:dyDescent="0.25">
      <c r="A20" s="11" t="str">
        <f t="shared" si="3"/>
        <v>11</v>
      </c>
      <c r="B20" s="11" t="str">
        <f t="shared" si="3"/>
        <v>Heartland AEA 11</v>
      </c>
      <c r="C20" s="22">
        <f>PaymentCodingTotal!C20-('PaymentCodingDetail_Sept-May'!C20*9)</f>
        <v>0</v>
      </c>
      <c r="D20" s="19">
        <f>PaymentCodingTotal!D20-('PaymentCodingDetail_Sept-May'!D20*9)</f>
        <v>0</v>
      </c>
      <c r="E20" s="50">
        <f t="shared" si="4"/>
        <v>0</v>
      </c>
      <c r="F20" s="22">
        <f>PaymentCodingTotal!F20-('PaymentCodingDetail_Sept-May'!F20*9)</f>
        <v>462365</v>
      </c>
      <c r="G20" s="22">
        <f>PaymentCodingTotal!G20-('PaymentCodingDetail_Sept-May'!G20*9)</f>
        <v>0</v>
      </c>
    </row>
    <row r="21" spans="1:13" x14ac:dyDescent="0.25">
      <c r="A21" s="11" t="str">
        <f t="shared" si="3"/>
        <v>12</v>
      </c>
      <c r="B21" s="11" t="str">
        <f t="shared" si="3"/>
        <v>Northwest AEA</v>
      </c>
      <c r="C21" s="22">
        <f>PaymentCodingTotal!C21-('PaymentCodingDetail_Sept-May'!C21*9)</f>
        <v>2324</v>
      </c>
      <c r="D21" s="19">
        <f>PaymentCodingTotal!D21-('PaymentCodingDetail_Sept-May'!D21*9)</f>
        <v>676</v>
      </c>
      <c r="E21" s="50">
        <f t="shared" si="4"/>
        <v>3000</v>
      </c>
      <c r="F21" s="22">
        <f>PaymentCodingTotal!F21-('PaymentCodingDetail_Sept-May'!F21*9)</f>
        <v>159566</v>
      </c>
      <c r="G21" s="22">
        <f>PaymentCodingTotal!G21-('PaymentCodingDetail_Sept-May'!G21*9)</f>
        <v>0</v>
      </c>
    </row>
    <row r="22" spans="1:13" x14ac:dyDescent="0.25">
      <c r="A22" s="11" t="str">
        <f t="shared" si="3"/>
        <v>13</v>
      </c>
      <c r="B22" s="11" t="str">
        <f t="shared" si="3"/>
        <v>Green Hills AEA 13</v>
      </c>
      <c r="C22" s="22">
        <f>PaymentCodingTotal!C22-('PaymentCodingDetail_Sept-May'!C22*9)</f>
        <v>2364</v>
      </c>
      <c r="D22" s="19">
        <f>PaymentCodingTotal!D22-('PaymentCodingDetail_Sept-May'!D22*9)</f>
        <v>637</v>
      </c>
      <c r="E22" s="50">
        <f t="shared" si="4"/>
        <v>3001</v>
      </c>
      <c r="F22" s="22">
        <f>PaymentCodingTotal!F22-('PaymentCodingDetail_Sept-May'!F22*9)</f>
        <v>150601</v>
      </c>
      <c r="G22" s="22">
        <f>PaymentCodingTotal!G22-('PaymentCodingDetail_Sept-May'!G22*9)</f>
        <v>0</v>
      </c>
    </row>
    <row r="23" spans="1:13" x14ac:dyDescent="0.25">
      <c r="A23" s="11" t="str">
        <f t="shared" si="3"/>
        <v>15</v>
      </c>
      <c r="B23" s="11" t="str">
        <f t="shared" si="3"/>
        <v>Great Prairie AEA 15</v>
      </c>
      <c r="C23" s="22">
        <f>PaymentCodingTotal!C23-('PaymentCodingDetail_Sept-May'!C23*9)</f>
        <v>2384</v>
      </c>
      <c r="D23" s="19">
        <f>PaymentCodingTotal!D23-('PaymentCodingDetail_Sept-May'!D23*9)</f>
        <v>617</v>
      </c>
      <c r="E23" s="50">
        <f t="shared" si="4"/>
        <v>3001</v>
      </c>
      <c r="F23" s="22">
        <f>PaymentCodingTotal!F23-('PaymentCodingDetail_Sept-May'!F23*9)</f>
        <v>130892</v>
      </c>
      <c r="G23" s="22">
        <f>PaymentCodingTotal!G23-('PaymentCodingDetail_Sept-May'!G23*9)</f>
        <v>0</v>
      </c>
    </row>
    <row r="24" spans="1:13" ht="15.75" thickBot="1" x14ac:dyDescent="0.3">
      <c r="C24" s="46">
        <f>SUM(C15:C23)</f>
        <v>16429</v>
      </c>
      <c r="D24" s="20">
        <f>SUM(D15:D23)</f>
        <v>4575</v>
      </c>
      <c r="E24" s="20">
        <f>SUM(E15:E23)</f>
        <v>21004</v>
      </c>
      <c r="F24" s="37">
        <f>SUM(F15:F23)</f>
        <v>1856455</v>
      </c>
      <c r="G24" s="37">
        <f>SUM(G15:G23)</f>
        <v>0</v>
      </c>
    </row>
    <row r="25" spans="1:13" ht="7.5" customHeight="1" thickTop="1" x14ac:dyDescent="0.25">
      <c r="F25" s="6"/>
      <c r="G25" s="6"/>
      <c r="H25" s="6"/>
    </row>
    <row r="26" spans="1:13" ht="30" x14ac:dyDescent="0.25">
      <c r="A26" s="17" t="str">
        <f t="shared" ref="A26:B35" si="5">A14</f>
        <v>AEA</v>
      </c>
      <c r="B26" s="17"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1" t="str">
        <f>Data_Detail[[#Headers],[State Aid Portion]]</f>
        <v>State Aid Portion</v>
      </c>
      <c r="G26" s="9" t="str">
        <f>Data_Detail[[#Headers],[Property Tax Portion]]</f>
        <v>Property Tax Portion</v>
      </c>
      <c r="K26" t="s">
        <v>78</v>
      </c>
      <c r="L26" t="s">
        <v>79</v>
      </c>
      <c r="M26" t="s">
        <v>80</v>
      </c>
    </row>
    <row r="27" spans="1:13" x14ac:dyDescent="0.25">
      <c r="A27" s="11" t="str">
        <f t="shared" si="5"/>
        <v>01</v>
      </c>
      <c r="B27" s="11" t="str">
        <f t="shared" si="5"/>
        <v>Keystone AEA 1</v>
      </c>
      <c r="C27" s="19">
        <f>PaymentCodingTotal!C27-('PaymentCodingDetail_Sept-May'!C27*9)</f>
        <v>80777</v>
      </c>
      <c r="D27" s="19">
        <f>PaymentCodingTotal!D27-('PaymentCodingDetail_Sept-May'!D27*9)</f>
        <v>89977</v>
      </c>
      <c r="E27" s="49">
        <f>INDEX(Data[],MATCH($A27,Data[AEA],0),MATCH("Pay 2 Final",Data[#Headers],0))</f>
        <v>1247259</v>
      </c>
      <c r="F27" s="48">
        <f>F3+C15+F15+G15</f>
        <v>795930</v>
      </c>
      <c r="G27" s="50">
        <f>G3+H3+D15+C27+D27</f>
        <v>451329</v>
      </c>
      <c r="K27" s="6">
        <f>E27-D27-C27-G15-F15-E15-H3-G3-F3</f>
        <v>0</v>
      </c>
      <c r="L27" s="6">
        <f t="shared" ref="L27:L36" si="6">F27-G15-F15-C15-F3</f>
        <v>0</v>
      </c>
      <c r="M27" s="6">
        <f t="shared" ref="M27:M36" si="7">G27-D27-C27-D15-H3-G3</f>
        <v>0</v>
      </c>
    </row>
    <row r="28" spans="1:13" x14ac:dyDescent="0.25">
      <c r="A28" s="11" t="str">
        <f t="shared" si="5"/>
        <v>05</v>
      </c>
      <c r="B28" s="11" t="str">
        <f t="shared" si="5"/>
        <v>Prairie Lakes AEA 8</v>
      </c>
      <c r="C28" s="19">
        <f>PaymentCodingTotal!C28-('PaymentCodingDetail_Sept-May'!C28*9)</f>
        <v>81671</v>
      </c>
      <c r="D28" s="19">
        <f>PaymentCodingTotal!D28-('PaymentCodingDetail_Sept-May'!D28*9)</f>
        <v>91467</v>
      </c>
      <c r="E28" s="49">
        <f>INDEX(Data[],MATCH($A28,Data[AEA],0),MATCH("Pay 2 Final",Data[#Headers],0))</f>
        <v>1300790</v>
      </c>
      <c r="F28" s="48">
        <f t="shared" ref="F28:F35" si="8">F4+C16+F16+G16</f>
        <v>837080</v>
      </c>
      <c r="G28" s="50">
        <f t="shared" ref="G28:G35" si="9">G4+H4+D16+C28+D28</f>
        <v>463710</v>
      </c>
      <c r="K28" s="6">
        <f t="shared" ref="K28:K36" si="10">E28-D28-C28-G16-F16-E16-H4-G4-F4</f>
        <v>0</v>
      </c>
      <c r="L28" s="6">
        <f t="shared" si="6"/>
        <v>0</v>
      </c>
      <c r="M28" s="6">
        <f t="shared" si="7"/>
        <v>0</v>
      </c>
    </row>
    <row r="29" spans="1:13" x14ac:dyDescent="0.25">
      <c r="A29" s="11" t="str">
        <f t="shared" si="5"/>
        <v>07</v>
      </c>
      <c r="B29" s="11" t="str">
        <f t="shared" si="5"/>
        <v>Central Rivers</v>
      </c>
      <c r="C29" s="19">
        <f>PaymentCodingTotal!C29-('PaymentCodingDetail_Sept-May'!C29*9)</f>
        <v>164592</v>
      </c>
      <c r="D29" s="19">
        <f>PaymentCodingTotal!D29-('PaymentCodingDetail_Sept-May'!D29*9)</f>
        <v>183491</v>
      </c>
      <c r="E29" s="49">
        <f>INDEX(Data[],MATCH($A29,Data[AEA],0),MATCH("Pay 2 Final",Data[#Headers],0))</f>
        <v>2677379</v>
      </c>
      <c r="F29" s="48">
        <f t="shared" si="8"/>
        <v>1785472</v>
      </c>
      <c r="G29" s="50">
        <f t="shared" si="9"/>
        <v>891907</v>
      </c>
      <c r="K29" s="6">
        <f t="shared" si="10"/>
        <v>0</v>
      </c>
      <c r="L29" s="6">
        <f t="shared" si="6"/>
        <v>0</v>
      </c>
      <c r="M29" s="6">
        <f t="shared" si="7"/>
        <v>0</v>
      </c>
    </row>
    <row r="30" spans="1:13" x14ac:dyDescent="0.25">
      <c r="A30" s="11" t="str">
        <f t="shared" si="5"/>
        <v>09</v>
      </c>
      <c r="B30" s="11" t="str">
        <f t="shared" si="5"/>
        <v>Mississippi Bend AEA 9</v>
      </c>
      <c r="C30" s="19">
        <f>PaymentCodingTotal!C30-('PaymentCodingDetail_Sept-May'!C30*9)</f>
        <v>121570</v>
      </c>
      <c r="D30" s="19">
        <f>PaymentCodingTotal!D30-('PaymentCodingDetail_Sept-May'!D30*9)</f>
        <v>132904</v>
      </c>
      <c r="E30" s="49">
        <f>INDEX(Data[],MATCH($A30,Data[AEA],0),MATCH("Pay 2 Final",Data[#Headers],0))</f>
        <v>1879043</v>
      </c>
      <c r="F30" s="48">
        <f t="shared" si="8"/>
        <v>1240041</v>
      </c>
      <c r="G30" s="50">
        <f t="shared" si="9"/>
        <v>639002</v>
      </c>
      <c r="K30" s="6">
        <f t="shared" si="10"/>
        <v>0</v>
      </c>
      <c r="L30" s="6">
        <f t="shared" si="6"/>
        <v>0</v>
      </c>
      <c r="M30" s="6">
        <f t="shared" si="7"/>
        <v>0</v>
      </c>
    </row>
    <row r="31" spans="1:13" x14ac:dyDescent="0.25">
      <c r="A31" s="11" t="str">
        <f t="shared" si="5"/>
        <v>10</v>
      </c>
      <c r="B31" s="11" t="str">
        <f t="shared" si="5"/>
        <v>Grant Wood AEA 10</v>
      </c>
      <c r="C31" s="19">
        <f>PaymentCodingTotal!C31-('PaymentCodingDetail_Sept-May'!C31*9)</f>
        <v>188585</v>
      </c>
      <c r="D31" s="19">
        <f>PaymentCodingTotal!D31-('PaymentCodingDetail_Sept-May'!D31*9)</f>
        <v>207347</v>
      </c>
      <c r="E31" s="49">
        <f>INDEX(Data[],MATCH($A31,Data[AEA],0),MATCH("Pay 2 Final",Data[#Headers],0))</f>
        <v>2852784</v>
      </c>
      <c r="F31" s="48">
        <f t="shared" si="8"/>
        <v>1892193</v>
      </c>
      <c r="G31" s="50">
        <f t="shared" si="9"/>
        <v>960591</v>
      </c>
      <c r="K31" s="6">
        <f t="shared" si="10"/>
        <v>0</v>
      </c>
      <c r="L31" s="6">
        <f t="shared" si="6"/>
        <v>0</v>
      </c>
      <c r="M31" s="6">
        <f t="shared" si="7"/>
        <v>0</v>
      </c>
    </row>
    <row r="32" spans="1:13" x14ac:dyDescent="0.25">
      <c r="A32" s="11" t="str">
        <f t="shared" si="5"/>
        <v>11</v>
      </c>
      <c r="B32" s="11" t="str">
        <f t="shared" si="5"/>
        <v>Heartland AEA 11</v>
      </c>
      <c r="C32" s="19">
        <f>PaymentCodingTotal!C32-('PaymentCodingDetail_Sept-May'!C32*9)</f>
        <v>388405</v>
      </c>
      <c r="D32" s="19">
        <f>PaymentCodingTotal!D32-('PaymentCodingDetail_Sept-May'!D32*9)</f>
        <v>426763</v>
      </c>
      <c r="E32" s="49">
        <f>INDEX(Data[],MATCH($A32,Data[AEA],0),MATCH("Pay 2 Final",Data[#Headers],0))</f>
        <v>5730398</v>
      </c>
      <c r="F32" s="48">
        <f t="shared" si="8"/>
        <v>3873143</v>
      </c>
      <c r="G32" s="50">
        <f t="shared" si="9"/>
        <v>1857255</v>
      </c>
      <c r="K32" s="6">
        <f t="shared" si="10"/>
        <v>0</v>
      </c>
      <c r="L32" s="6">
        <f t="shared" si="6"/>
        <v>0</v>
      </c>
      <c r="M32" s="6">
        <f t="shared" si="7"/>
        <v>0</v>
      </c>
    </row>
    <row r="33" spans="1:13" x14ac:dyDescent="0.25">
      <c r="A33" s="11" t="str">
        <f t="shared" si="5"/>
        <v>12</v>
      </c>
      <c r="B33" s="11" t="str">
        <f t="shared" si="5"/>
        <v>Northwest AEA</v>
      </c>
      <c r="C33" s="19">
        <f>PaymentCodingTotal!C33-('PaymentCodingDetail_Sept-May'!C33*9)</f>
        <v>115027</v>
      </c>
      <c r="D33" s="19">
        <f>PaymentCodingTotal!D33-('PaymentCodingDetail_Sept-May'!D33*9)</f>
        <v>128775</v>
      </c>
      <c r="E33" s="49">
        <f>INDEX(Data[],MATCH($A33,Data[AEA],0),MATCH("Pay 2 Final",Data[#Headers],0))</f>
        <v>1725140</v>
      </c>
      <c r="F33" s="48">
        <f t="shared" si="8"/>
        <v>1116247</v>
      </c>
      <c r="G33" s="50">
        <f t="shared" si="9"/>
        <v>608893</v>
      </c>
      <c r="K33" s="6">
        <f t="shared" si="10"/>
        <v>0</v>
      </c>
      <c r="L33" s="6">
        <f t="shared" si="6"/>
        <v>0</v>
      </c>
      <c r="M33" s="6">
        <f t="shared" si="7"/>
        <v>0</v>
      </c>
    </row>
    <row r="34" spans="1:13" x14ac:dyDescent="0.25">
      <c r="A34" s="11" t="str">
        <f t="shared" si="5"/>
        <v>13</v>
      </c>
      <c r="B34" s="11" t="str">
        <f t="shared" si="5"/>
        <v>Green Hills AEA 13</v>
      </c>
      <c r="C34" s="19">
        <f>PaymentCodingTotal!C34-('PaymentCodingDetail_Sept-May'!C34*9)</f>
        <v>96094</v>
      </c>
      <c r="D34" s="19">
        <f>PaymentCodingTotal!D34-('PaymentCodingDetail_Sept-May'!D34*9)</f>
        <v>106240</v>
      </c>
      <c r="E34" s="49">
        <f>INDEX(Data[],MATCH($A34,Data[AEA],0),MATCH("Pay 2 Final",Data[#Headers],0))</f>
        <v>1573874</v>
      </c>
      <c r="F34" s="48">
        <f t="shared" si="8"/>
        <v>1052707</v>
      </c>
      <c r="G34" s="50">
        <f t="shared" si="9"/>
        <v>521167</v>
      </c>
      <c r="K34" s="6">
        <f t="shared" si="10"/>
        <v>0</v>
      </c>
      <c r="L34" s="6">
        <f t="shared" si="6"/>
        <v>0</v>
      </c>
      <c r="M34" s="6">
        <f t="shared" si="7"/>
        <v>0</v>
      </c>
    </row>
    <row r="35" spans="1:13" x14ac:dyDescent="0.25">
      <c r="A35" s="11" t="str">
        <f t="shared" si="5"/>
        <v>15</v>
      </c>
      <c r="B35" s="11" t="str">
        <f t="shared" si="5"/>
        <v>Great Prairie AEA 15</v>
      </c>
      <c r="C35" s="19">
        <f>PaymentCodingTotal!C35-('PaymentCodingDetail_Sept-May'!C35*9)</f>
        <v>88566</v>
      </c>
      <c r="D35" s="19">
        <f>PaymentCodingTotal!D35-('PaymentCodingDetail_Sept-May'!D35*9)</f>
        <v>97365</v>
      </c>
      <c r="E35" s="49">
        <f>INDEX(Data[],MATCH($A35,Data[AEA],0),MATCH("Pay 2 Final",Data[#Headers],0))</f>
        <v>1403362</v>
      </c>
      <c r="F35" s="56">
        <f t="shared" si="8"/>
        <v>938957</v>
      </c>
      <c r="G35" s="54">
        <f t="shared" si="9"/>
        <v>464405</v>
      </c>
      <c r="K35" s="6">
        <f t="shared" si="10"/>
        <v>0</v>
      </c>
      <c r="L35" s="6">
        <f t="shared" si="6"/>
        <v>0</v>
      </c>
      <c r="M35" s="6">
        <f t="shared" si="7"/>
        <v>0</v>
      </c>
    </row>
    <row r="36" spans="1:13" ht="15.75" thickBot="1" x14ac:dyDescent="0.3">
      <c r="C36" s="20">
        <f t="shared" ref="C36:E36" si="11">SUM(C27:C35)</f>
        <v>1325287</v>
      </c>
      <c r="D36" s="20">
        <f t="shared" si="11"/>
        <v>1464329</v>
      </c>
      <c r="E36" s="16">
        <f t="shared" si="11"/>
        <v>20390029</v>
      </c>
      <c r="F36" s="57">
        <f>SUM(F27:F35)</f>
        <v>13531770</v>
      </c>
      <c r="G36" s="55">
        <f>SUM(G27:G35)</f>
        <v>6858259</v>
      </c>
      <c r="K36" s="6">
        <f t="shared" si="10"/>
        <v>0</v>
      </c>
      <c r="L36" s="6">
        <f t="shared" si="6"/>
        <v>0</v>
      </c>
      <c r="M36" s="6">
        <f t="shared" si="7"/>
        <v>0</v>
      </c>
    </row>
    <row r="37" spans="1:13" ht="15.75" thickTop="1" x14ac:dyDescent="0.25"/>
    <row r="39" spans="1:13" x14ac:dyDescent="0.25">
      <c r="H39" s="6"/>
    </row>
  </sheetData>
  <mergeCells count="3">
    <mergeCell ref="A1:I1"/>
    <mergeCell ref="H16:H17"/>
    <mergeCell ref="H18:H19"/>
  </mergeCells>
  <pageMargins left="0.25" right="0.25" top="0.75" bottom="0.75" header="0.3" footer="0.3"/>
  <pageSetup scale="77" orientation="landscape" r:id="rId1"/>
  <headerFooter>
    <oddFooter>&amp;LDepartment of Management&amp;R&amp;D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8DE00-6774-4957-911F-A975DD9CEC5E}">
  <sheetPr>
    <tabColor rgb="FFFFC000"/>
    <pageSetUpPr fitToPage="1"/>
  </sheetPr>
  <dimension ref="A1:L39"/>
  <sheetViews>
    <sheetView zoomScale="90" zoomScaleNormal="90" workbookViewId="0">
      <selection sqref="A1:I1"/>
    </sheetView>
  </sheetViews>
  <sheetFormatPr defaultRowHeight="15" x14ac:dyDescent="0.25"/>
  <cols>
    <col min="1" max="1" width="7" customWidth="1"/>
    <col min="2" max="2" width="22.42578125" bestFit="1" customWidth="1"/>
    <col min="3" max="3" width="20.28515625" customWidth="1"/>
    <col min="4" max="4" width="19" customWidth="1"/>
    <col min="5" max="5" width="15.85546875" customWidth="1"/>
    <col min="6" max="6" width="18.140625" customWidth="1"/>
    <col min="7" max="7" width="23.42578125" customWidth="1"/>
    <col min="8" max="8" width="22.85546875" customWidth="1"/>
    <col min="9" max="9" width="22.7109375" customWidth="1"/>
    <col min="10" max="10" width="13.7109375" customWidth="1"/>
    <col min="11" max="11" width="32.42578125" hidden="1" customWidth="1"/>
    <col min="12" max="12" width="31.85546875" hidden="1" customWidth="1"/>
    <col min="13" max="13" width="27.5703125" customWidth="1"/>
  </cols>
  <sheetData>
    <row r="1" spans="1:11" ht="45" customHeight="1" x14ac:dyDescent="0.25">
      <c r="A1" s="64" t="str">
        <f>_xlfn.CONCAT("FY ",K2," AEA Enrollments and Cost - Final - State Aid and Property Tax Breakdown")</f>
        <v>FY 2025 AEA Enrollments and Cost - Final - State Aid and Property Tax Breakdown</v>
      </c>
      <c r="B1" s="64"/>
      <c r="C1" s="64"/>
      <c r="D1" s="64"/>
      <c r="E1" s="64"/>
      <c r="F1" s="64"/>
      <c r="G1" s="64"/>
      <c r="H1" s="64"/>
      <c r="I1" s="64"/>
    </row>
    <row r="2" spans="1:11" s="10" customFormat="1" ht="45" x14ac:dyDescent="0.25">
      <c r="A2" s="7" t="s">
        <v>47</v>
      </c>
      <c r="B2" s="7" t="s">
        <v>48</v>
      </c>
      <c r="C2" s="8" t="str">
        <f>Data_Detail[[#Headers],[AEA Special Ed Support District Cost Formula Generated]]</f>
        <v>AEA Special Ed Support District Cost Formula Generated</v>
      </c>
      <c r="D2" s="8" t="str">
        <f>Data_Detail[[#Headers],[State Aid Portion Special Ed]]</f>
        <v>State Aid Portion Special Ed</v>
      </c>
      <c r="E2" s="8" t="str">
        <f>Data_Detail[[#Headers],[AEA Statewide State Aid Reduction]]</f>
        <v>AEA Statewide State Aid Reduction</v>
      </c>
      <c r="F2" s="21" t="str">
        <f>Data_Detail[[#Headers],[State Aid Special Ed Minus Reduction]]</f>
        <v>State Aid Special Ed Minus Reduction</v>
      </c>
      <c r="G2" s="9" t="str">
        <f>Data_Detail[[#Headers],[Special Education Property Tax Portion]]</f>
        <v>Special Education Property Tax Portion</v>
      </c>
      <c r="H2" s="9" t="str">
        <f>Data_Detail[[#Headers],[AEA Special Ed Support Adjustment]]</f>
        <v>AEA Special Ed Support Adjustment</v>
      </c>
      <c r="I2" s="8" t="str">
        <f>Data_Detail[[#Headers],[Total Special Ed Funding Removing Reduction Including Adjustment]]</f>
        <v>Total Special Ed Funding Removing Reduction Including Adjustment</v>
      </c>
      <c r="K2" s="10">
        <f>Notes!B1</f>
        <v>2025</v>
      </c>
    </row>
    <row r="3" spans="1:11" x14ac:dyDescent="0.25">
      <c r="A3" s="18" t="str">
        <f>Data!A2</f>
        <v>01</v>
      </c>
      <c r="B3" s="11" t="str">
        <f>INDEX(Data_Detail[],MATCH(PaymentCodingTotal!$A3,Data_Detail[AEA],0),3)</f>
        <v>Keystone AEA 1</v>
      </c>
      <c r="C3" s="12">
        <f>SUMIFS(INDEX(Data_Detail[],0,MATCH(C$2,Data_Detail[#Headers],0)),Data_Detail[AEA],$A3,Data_Detail[FiscalYear],$K$2)</f>
        <v>11477381</v>
      </c>
      <c r="D3" s="12">
        <f>SUMIFS(INDEX(Data_Detail[],0,MATCH(D$2,Data_Detail[#Headers],0)),Data_Detail[AEA],$A3,Data_Detail[FiscalYear],$K$2)</f>
        <v>8693035</v>
      </c>
      <c r="E3" s="12">
        <f>SUMIFS(INDEX(Data_Detail[],0,MATCH(E$2,Data_Detail[#Headers],0)),Data_Detail[AEA],$A3,Data_Detail[FiscalYear],$K$2)</f>
        <v>1894993</v>
      </c>
      <c r="F3" s="48">
        <f t="shared" ref="F3:F11" si="0">D3-E3</f>
        <v>6798042</v>
      </c>
      <c r="G3" s="19">
        <f>SUMIFS(INDEX(Data_Detail[],0,MATCH(G$2,Data_Detail[#Headers],0)),Data_Detail[AEA],$A3,Data_Detail[FiscalYear],$K$2)</f>
        <v>2784346</v>
      </c>
      <c r="H3" s="19">
        <f>SUMIFS(INDEX(Data_Detail[],0,MATCH(H$2,Data_Detail[#Headers],0)),Data_Detail[AEA],$A3,Data_Detail[FiscalYear],$K$2)</f>
        <v>14190</v>
      </c>
      <c r="I3" s="47">
        <f>SUM(F3:H3)</f>
        <v>9596578</v>
      </c>
      <c r="K3" s="6">
        <f>G12+D24+H12+C36+D36-G36</f>
        <v>0</v>
      </c>
    </row>
    <row r="4" spans="1:11" x14ac:dyDescent="0.25">
      <c r="A4" s="18" t="str">
        <f>Data!A3</f>
        <v>05</v>
      </c>
      <c r="B4" s="11" t="str">
        <f>INDEX(Data_Detail[],MATCH(PaymentCodingTotal!$A4,Data_Detail[AEA],0),3)</f>
        <v>Prairie Lakes AEA 8</v>
      </c>
      <c r="C4" s="12">
        <f>SUMIFS(INDEX(Data_Detail[],0,MATCH(C$2,Data_Detail[#Headers],0)),Data_Detail[AEA],$A4,Data_Detail[FiscalYear],$K$2)</f>
        <v>11854900</v>
      </c>
      <c r="D4" s="12">
        <f>SUMIFS(INDEX(Data_Detail[],0,MATCH(D$2,Data_Detail[#Headers],0)),Data_Detail[AEA],$A4,Data_Detail[FiscalYear],$K$2)</f>
        <v>9087311</v>
      </c>
      <c r="E4" s="12">
        <f>SUMIFS(INDEX(Data_Detail[],0,MATCH(E$2,Data_Detail[#Headers],0)),Data_Detail[AEA],$A4,Data_Detail[FiscalYear],$K$2)</f>
        <v>1980939</v>
      </c>
      <c r="F4" s="48">
        <f t="shared" si="0"/>
        <v>7106372</v>
      </c>
      <c r="G4" s="19">
        <f>SUMIFS(INDEX(Data_Detail[],0,MATCH(G$2,Data_Detail[#Headers],0)),Data_Detail[AEA],$A4,Data_Detail[FiscalYear],$K$2)</f>
        <v>2767589</v>
      </c>
      <c r="H4" s="19">
        <f>SUMIFS(INDEX(Data_Detail[],0,MATCH(H$2,Data_Detail[#Headers],0)),Data_Detail[AEA],$A4,Data_Detail[FiscalYear],$K$2)</f>
        <v>138167</v>
      </c>
      <c r="I4" s="47">
        <f t="shared" ref="I4:I11" si="1">SUM(F4:H4)</f>
        <v>10012128</v>
      </c>
      <c r="K4" s="6">
        <f>F12+C24+F24+G24-F36</f>
        <v>0</v>
      </c>
    </row>
    <row r="5" spans="1:11" x14ac:dyDescent="0.25">
      <c r="A5" s="18" t="str">
        <f>Data!A4</f>
        <v>07</v>
      </c>
      <c r="B5" s="11" t="str">
        <f>INDEX(Data_Detail[],MATCH(PaymentCodingTotal!$A5,Data_Detail[AEA],0),3)</f>
        <v>Central Rivers</v>
      </c>
      <c r="C5" s="12">
        <f>SUMIFS(INDEX(Data_Detail[],0,MATCH(C$2,Data_Detail[#Headers],0)),Data_Detail[AEA],$A5,Data_Detail[FiscalYear],$K$2)</f>
        <v>24281771</v>
      </c>
      <c r="D5" s="12">
        <f>SUMIFS(INDEX(Data_Detail[],0,MATCH(D$2,Data_Detail[#Headers],0)),Data_Detail[AEA],$A5,Data_Detail[FiscalYear],$K$2)</f>
        <v>18970133</v>
      </c>
      <c r="E5" s="12">
        <f>SUMIFS(INDEX(Data_Detail[],0,MATCH(E$2,Data_Detail[#Headers],0)),Data_Detail[AEA],$A5,Data_Detail[FiscalYear],$K$2)</f>
        <v>4135301</v>
      </c>
      <c r="F5" s="48">
        <f t="shared" si="0"/>
        <v>14834832</v>
      </c>
      <c r="G5" s="19">
        <f>SUMIFS(INDEX(Data_Detail[],0,MATCH(G$2,Data_Detail[#Headers],0)),Data_Detail[AEA],$A5,Data_Detail[FiscalYear],$K$2)</f>
        <v>5311638</v>
      </c>
      <c r="H5" s="19">
        <f>SUMIFS(INDEX(Data_Detail[],0,MATCH(H$2,Data_Detail[#Headers],0)),Data_Detail[AEA],$A5,Data_Detail[FiscalYear],$K$2)</f>
        <v>120080</v>
      </c>
      <c r="I5" s="47">
        <f t="shared" si="1"/>
        <v>20266550</v>
      </c>
      <c r="K5" s="6">
        <f>F12+E12-D12</f>
        <v>0</v>
      </c>
    </row>
    <row r="6" spans="1:11" x14ac:dyDescent="0.25">
      <c r="A6" s="18" t="str">
        <f>Data!A5</f>
        <v>09</v>
      </c>
      <c r="B6" s="11" t="str">
        <f>INDEX(Data_Detail[],MATCH(PaymentCodingTotal!$A6,Data_Detail[AEA],0),3)</f>
        <v>Mississippi Bend AEA 9</v>
      </c>
      <c r="C6" s="12">
        <f>SUMIFS(INDEX(Data_Detail[],0,MATCH(C$2,Data_Detail[#Headers],0)),Data_Detail[AEA],$A6,Data_Detail[FiscalYear],$K$2)</f>
        <v>17494746</v>
      </c>
      <c r="D6" s="12">
        <f>SUMIFS(INDEX(Data_Detail[],0,MATCH(D$2,Data_Detail[#Headers],0)),Data_Detail[AEA],$A6,Data_Detail[FiscalYear],$K$2)-2</f>
        <v>13761744</v>
      </c>
      <c r="E6" s="12">
        <f>SUMIFS(INDEX(Data_Detail[],0,MATCH(E$2,Data_Detail[#Headers],0)),Data_Detail[AEA],$A6,Data_Detail[FiscalYear],$K$2)</f>
        <v>2999921</v>
      </c>
      <c r="F6" s="48">
        <f t="shared" si="0"/>
        <v>10761823</v>
      </c>
      <c r="G6" s="19">
        <f>SUMIFS(INDEX(Data_Detail[],0,MATCH(G$2,Data_Detail[#Headers],0)),Data_Detail[AEA],$A6,Data_Detail[FiscalYear],$K$2)+2</f>
        <v>3733002</v>
      </c>
      <c r="H6" s="19">
        <f>SUMIFS(INDEX(Data_Detail[],0,MATCH(H$2,Data_Detail[#Headers],0)),Data_Detail[AEA],$A6,Data_Detail[FiscalYear],$K$2)</f>
        <v>105832</v>
      </c>
      <c r="I6" s="47">
        <f t="shared" si="1"/>
        <v>14600657</v>
      </c>
      <c r="K6" s="6">
        <f>H12+G12+F12-I12</f>
        <v>0</v>
      </c>
    </row>
    <row r="7" spans="1:11" x14ac:dyDescent="0.25">
      <c r="A7" s="18" t="str">
        <f>Data!A6</f>
        <v>10</v>
      </c>
      <c r="B7" s="11" t="str">
        <f>INDEX(Data_Detail[],MATCH(PaymentCodingTotal!$A7,Data_Detail[AEA],0),3)</f>
        <v>Grant Wood AEA 10</v>
      </c>
      <c r="C7" s="12">
        <f>SUMIFS(INDEX(Data_Detail[],0,MATCH(C$2,Data_Detail[#Headers],0)),Data_Detail[AEA],$A7,Data_Detail[FiscalYear],$K$2)</f>
        <v>26483224</v>
      </c>
      <c r="D7" s="12">
        <f>SUMIFS(INDEX(Data_Detail[],0,MATCH(D$2,Data_Detail[#Headers],0)),Data_Detail[AEA],$A7,Data_Detail[FiscalYear],$K$2)-3</f>
        <v>20949460</v>
      </c>
      <c r="E7" s="12">
        <f>SUMIFS(INDEX(Data_Detail[],0,MATCH(E$2,Data_Detail[#Headers],0)),Data_Detail[AEA],$A7,Data_Detail[FiscalYear],$K$2)</f>
        <v>4566772</v>
      </c>
      <c r="F7" s="48">
        <f t="shared" si="0"/>
        <v>16382688</v>
      </c>
      <c r="G7" s="19">
        <f>SUMIFS(INDEX(Data_Detail[],0,MATCH(G$2,Data_Detail[#Headers],0)),Data_Detail[AEA],$A7,Data_Detail[FiscalYear],$K$2)+3</f>
        <v>5533764</v>
      </c>
      <c r="H7" s="19">
        <f>SUMIFS(INDEX(Data_Detail[],0,MATCH(H$2,Data_Detail[#Headers],0)),Data_Detail[AEA],$A7,Data_Detail[FiscalYear],$K$2)</f>
        <v>106540</v>
      </c>
      <c r="I7" s="47">
        <f t="shared" si="1"/>
        <v>22022992</v>
      </c>
      <c r="K7" s="6">
        <f>C24+D24-E24</f>
        <v>0</v>
      </c>
    </row>
    <row r="8" spans="1:11" x14ac:dyDescent="0.25">
      <c r="A8" s="18" t="str">
        <f>Data!A7</f>
        <v>11</v>
      </c>
      <c r="B8" s="11" t="str">
        <f>INDEX(Data_Detail[],MATCH(PaymentCodingTotal!$A8,Data_Detail[AEA],0),3)</f>
        <v>Heartland AEA 11</v>
      </c>
      <c r="C8" s="12">
        <f>SUMIFS(INDEX(Data_Detail[],0,MATCH(C$2,Data_Detail[#Headers],0)),Data_Detail[AEA],$A8,Data_Detail[FiscalYear],$K$2)</f>
        <v>53989595</v>
      </c>
      <c r="D8" s="12">
        <f>SUMIFS(INDEX(Data_Detail[],0,MATCH(D$2,Data_Detail[#Headers],0)),Data_Detail[AEA],$A8,Data_Detail[FiscalYear],$K$2)</f>
        <v>43615553</v>
      </c>
      <c r="E8" s="12">
        <f>SUMIFS(INDEX(Data_Detail[],0,MATCH(E$2,Data_Detail[#Headers],0)),Data_Detail[AEA],$A8,Data_Detail[FiscalYear],$K$2)</f>
        <v>9507746</v>
      </c>
      <c r="F8" s="48">
        <f t="shared" si="0"/>
        <v>34107807</v>
      </c>
      <c r="G8" s="19">
        <f>SUMIFS(INDEX(Data_Detail[],0,MATCH(G$2,Data_Detail[#Headers],0)),Data_Detail[AEA],$A8,Data_Detail[FiscalYear],$K$2)</f>
        <v>10374042</v>
      </c>
      <c r="H8" s="19">
        <f>SUMIFS(INDEX(Data_Detail[],0,MATCH(H$2,Data_Detail[#Headers],0)),Data_Detail[AEA],$A8,Data_Detail[FiscalYear],$K$2)</f>
        <v>46909</v>
      </c>
      <c r="I8" s="47">
        <f t="shared" si="1"/>
        <v>44528758</v>
      </c>
    </row>
    <row r="9" spans="1:11" x14ac:dyDescent="0.25">
      <c r="A9" s="18" t="str">
        <f>Data!A8</f>
        <v>12</v>
      </c>
      <c r="B9" s="11" t="str">
        <f>INDEX(Data_Detail[],MATCH(PaymentCodingTotal!$A9,Data_Detail[AEA],0),3)</f>
        <v>Northwest AEA</v>
      </c>
      <c r="C9" s="12">
        <f>SUMIFS(INDEX(Data_Detail[],0,MATCH(C$2,Data_Detail[#Headers],0)),Data_Detail[AEA],$A9,Data_Detail[FiscalYear],$K$2)</f>
        <v>15768181</v>
      </c>
      <c r="D9" s="12">
        <f>SUMIFS(INDEX(Data_Detail[],0,MATCH(D$2,Data_Detail[#Headers],0)),Data_Detail[AEA],$A9,Data_Detail[FiscalYear],$K$2)+2</f>
        <v>12203775</v>
      </c>
      <c r="E9" s="12">
        <f>SUMIFS(INDEX(Data_Detail[],0,MATCH(E$2,Data_Detail[#Headers],0)),Data_Detail[AEA],$A9,Data_Detail[FiscalYear],$K$2)</f>
        <v>2660304</v>
      </c>
      <c r="F9" s="48">
        <f t="shared" si="0"/>
        <v>9543471</v>
      </c>
      <c r="G9" s="19">
        <f>SUMIFS(INDEX(Data_Detail[],0,MATCH(G$2,Data_Detail[#Headers],0)),Data_Detail[AEA],$A9,Data_Detail[FiscalYear],$K$2)-2</f>
        <v>3564406</v>
      </c>
      <c r="H9" s="19">
        <f>SUMIFS(INDEX(Data_Detail[],0,MATCH(H$2,Data_Detail[#Headers],0)),Data_Detail[AEA],$A9,Data_Detail[FiscalYear],$K$2)</f>
        <v>79672</v>
      </c>
      <c r="I9" s="47">
        <f t="shared" si="1"/>
        <v>13187549</v>
      </c>
    </row>
    <row r="10" spans="1:11" x14ac:dyDescent="0.25">
      <c r="A10" s="18" t="str">
        <f>Data!A9</f>
        <v>13</v>
      </c>
      <c r="B10" s="11" t="str">
        <f>INDEX(Data_Detail[],MATCH(PaymentCodingTotal!$A10,Data_Detail[AEA],0),3)</f>
        <v>Green Hills AEA 13</v>
      </c>
      <c r="C10" s="12">
        <f>SUMIFS(INDEX(Data_Detail[],0,MATCH(C$2,Data_Detail[#Headers],0)),Data_Detail[AEA],$A10,Data_Detail[FiscalYear],$K$2)</f>
        <v>14585910</v>
      </c>
      <c r="D10" s="12">
        <f>SUMIFS(INDEX(Data_Detail[],0,MATCH(D$2,Data_Detail[#Headers],0)),Data_Detail[AEA],$A10,Data_Detail[FiscalYear],$K$2)+1</f>
        <v>11505772</v>
      </c>
      <c r="E10" s="12">
        <f>SUMIFS(INDEX(Data_Detail[],0,MATCH(E$2,Data_Detail[#Headers],0)),Data_Detail[AEA],$A10,Data_Detail[FiscalYear],$K$2)</f>
        <v>2508136</v>
      </c>
      <c r="F10" s="48">
        <f t="shared" si="0"/>
        <v>8997636</v>
      </c>
      <c r="G10" s="19">
        <f>SUMIFS(INDEX(Data_Detail[],0,MATCH(G$2,Data_Detail[#Headers],0)),Data_Detail[AEA],$A10,Data_Detail[FiscalYear],$K$2)-1</f>
        <v>3080138</v>
      </c>
      <c r="H10" s="19">
        <f>SUMIFS(INDEX(Data_Detail[],0,MATCH(H$2,Data_Detail[#Headers],0)),Data_Detail[AEA],$A10,Data_Detail[FiscalYear],$K$2)</f>
        <v>101921</v>
      </c>
      <c r="I10" s="47">
        <f t="shared" si="1"/>
        <v>12179695</v>
      </c>
    </row>
    <row r="11" spans="1:11" x14ac:dyDescent="0.25">
      <c r="A11" s="18" t="str">
        <f>Data!A10</f>
        <v>15</v>
      </c>
      <c r="B11" s="11" t="str">
        <f>INDEX(Data_Detail[],MATCH(PaymentCodingTotal!$A11,Data_Detail[AEA],0),3)</f>
        <v>Great Prairie AEA 15</v>
      </c>
      <c r="C11" s="12">
        <f>SUMIFS(INDEX(Data_Detail[],0,MATCH(C$2,Data_Detail[#Headers],0)),Data_Detail[AEA],$A11,Data_Detail[FiscalYear],$K$2)</f>
        <v>12960059</v>
      </c>
      <c r="D11" s="12">
        <f>SUMIFS(INDEX(Data_Detail[],0,MATCH(D$2,Data_Detail[#Headers],0)),Data_Detail[AEA],$A11,Data_Detail[FiscalYear],$K$2)+2</f>
        <v>10302725</v>
      </c>
      <c r="E11" s="12">
        <f>SUMIFS(INDEX(Data_Detail[],0,MATCH(E$2,Data_Detail[#Headers],0)),Data_Detail[AEA],$A11,Data_Detail[FiscalYear],$K$2)</f>
        <v>2245888</v>
      </c>
      <c r="F11" s="48">
        <f t="shared" si="0"/>
        <v>8056837</v>
      </c>
      <c r="G11" s="19">
        <f>SUMIFS(INDEX(Data_Detail[],0,MATCH(G$2,Data_Detail[#Headers],0)),Data_Detail[AEA],$A11,Data_Detail[FiscalYear],$K$2)-2</f>
        <v>2657334</v>
      </c>
      <c r="H11" s="19">
        <f>SUMIFS(INDEX(Data_Detail[],0,MATCH(H$2,Data_Detail[#Headers],0)),Data_Detail[AEA],$A11,Data_Detail[FiscalYear],$K$2)</f>
        <v>121335</v>
      </c>
      <c r="I11" s="47">
        <f t="shared" si="1"/>
        <v>10835506</v>
      </c>
    </row>
    <row r="12" spans="1:11" ht="15.75" thickBot="1" x14ac:dyDescent="0.3">
      <c r="C12" s="13">
        <f>SUM(C3:C11)</f>
        <v>188895767</v>
      </c>
      <c r="D12" s="13">
        <f t="shared" ref="D12:I12" si="2">SUM(D3:D11)</f>
        <v>149089508</v>
      </c>
      <c r="E12" s="13">
        <f t="shared" si="2"/>
        <v>32500000</v>
      </c>
      <c r="F12" s="37">
        <f>SUM(F3:F11)</f>
        <v>116589508</v>
      </c>
      <c r="G12" s="15">
        <f t="shared" si="2"/>
        <v>39806259</v>
      </c>
      <c r="H12" s="15">
        <f>SUM(H3:H11)</f>
        <v>834646</v>
      </c>
      <c r="I12" s="16">
        <f t="shared" si="2"/>
        <v>157230413</v>
      </c>
    </row>
    <row r="13" spans="1:11" ht="7.5" customHeight="1" thickTop="1" x14ac:dyDescent="0.25"/>
    <row r="14" spans="1:11" ht="45" x14ac:dyDescent="0.25">
      <c r="A14" s="17" t="str">
        <f t="shared" ref="A14:B23" si="3">A2</f>
        <v>AEA</v>
      </c>
      <c r="B14" s="17" t="str">
        <f t="shared" si="3"/>
        <v>AEA Name</v>
      </c>
      <c r="C14" s="21" t="str">
        <f>Data_Detail[[#Headers],[State Aid Portion Sharing Operations]]</f>
        <v>State Aid Portion Sharing Operations</v>
      </c>
      <c r="D14" s="9" t="str">
        <f>Data_Detail[[#Headers],[Sharing Operations Property Tax]]</f>
        <v>Sharing Operations Property Tax</v>
      </c>
      <c r="E14" s="9" t="str">
        <f>Data_Detail[[#Headers],[Total AEA Sharing Operations]]</f>
        <v>Total AEA Sharing Operations</v>
      </c>
      <c r="F14" s="21" t="str">
        <f>Data_Detail[[#Headers],[AEA Teacher Salary Supplement District Cost]]</f>
        <v>AEA Teacher Salary Supplement District Cost</v>
      </c>
      <c r="G14" s="32"/>
    </row>
    <row r="15" spans="1:11" x14ac:dyDescent="0.25">
      <c r="A15" s="11" t="str">
        <f t="shared" si="3"/>
        <v>01</v>
      </c>
      <c r="B15" s="11" t="str">
        <f t="shared" si="3"/>
        <v>Keystone AEA 1</v>
      </c>
      <c r="C15" s="22">
        <f>SUMIFS(INDEX(Data_Detail[],0,MATCH(C$14,Data_Detail[#Headers],0)),Data_Detail[AEA],$A15,Data_Detail[FiscalYear],$K$2)</f>
        <v>22724</v>
      </c>
      <c r="D15" s="19">
        <f>SUMIFS(INDEX(Data_Detail[],0,MATCH(D$14,Data_Detail[#Headers],0)),Data_Detail[AEA],$A15,Data_Detail[FiscalYear],$K$2)</f>
        <v>7277</v>
      </c>
      <c r="E15" s="50">
        <f>SUM(C15:D15)</f>
        <v>30001</v>
      </c>
      <c r="F15" s="22">
        <f>SUMIFS(INDEX(Data_Detail[],0,MATCH(F$14,Data_Detail[#Headers],0)),Data_Detail[AEA],$A15,Data_Detail[FiscalYear],$K$2)</f>
        <v>1138633</v>
      </c>
      <c r="G15" s="60"/>
    </row>
    <row r="16" spans="1:11" x14ac:dyDescent="0.25">
      <c r="A16" s="11" t="str">
        <f t="shared" si="3"/>
        <v>05</v>
      </c>
      <c r="B16" s="11" t="str">
        <f t="shared" si="3"/>
        <v>Prairie Lakes AEA 8</v>
      </c>
      <c r="C16" s="22">
        <f>SUMIFS(INDEX(Data_Detail[],0,MATCH(C$14,Data_Detail[#Headers],0)),Data_Detail[AEA],$A16,Data_Detail[FiscalYear],$K$2)</f>
        <v>0</v>
      </c>
      <c r="D16" s="19">
        <f>SUMIFS(INDEX(Data_Detail[],0,MATCH(D$14,Data_Detail[#Headers],0)),Data_Detail[AEA],$A16,Data_Detail[FiscalYear],$K$2)</f>
        <v>0</v>
      </c>
      <c r="E16" s="50">
        <f t="shared" ref="E16:E23" si="4">SUM(C16:D16)</f>
        <v>0</v>
      </c>
      <c r="F16" s="22">
        <f>SUMIFS(INDEX(Data_Detail[],0,MATCH(F$14,Data_Detail[#Headers],0)),Data_Detail[AEA],$A16,Data_Detail[FiscalYear],$K$2)</f>
        <v>1264347</v>
      </c>
      <c r="G16" s="60"/>
      <c r="H16" s="65" t="s">
        <v>79</v>
      </c>
    </row>
    <row r="17" spans="1:12" x14ac:dyDescent="0.25">
      <c r="A17" s="11" t="str">
        <f t="shared" si="3"/>
        <v>07</v>
      </c>
      <c r="B17" s="11" t="str">
        <f t="shared" si="3"/>
        <v>Central Rivers</v>
      </c>
      <c r="C17" s="22">
        <f>SUMIFS(INDEX(Data_Detail[],0,MATCH(C$14,Data_Detail[#Headers],0)),Data_Detail[AEA],$A17,Data_Detail[FiscalYear],$K$2)</f>
        <v>23433</v>
      </c>
      <c r="D17" s="19">
        <f>SUMIFS(INDEX(Data_Detail[],0,MATCH(D$14,Data_Detail[#Headers],0)),Data_Detail[AEA],$A17,Data_Detail[FiscalYear],$K$2)</f>
        <v>6567</v>
      </c>
      <c r="E17" s="50">
        <f t="shared" si="4"/>
        <v>30000</v>
      </c>
      <c r="F17" s="22">
        <f>SUMIFS(INDEX(Data_Detail[],0,MATCH(F$14,Data_Detail[#Headers],0)),Data_Detail[AEA],$A17,Data_Detail[FiscalYear],$K$2)</f>
        <v>2996590</v>
      </c>
      <c r="G17" s="60"/>
      <c r="H17" s="65"/>
    </row>
    <row r="18" spans="1:12" x14ac:dyDescent="0.25">
      <c r="A18" s="11" t="str">
        <f t="shared" si="3"/>
        <v>09</v>
      </c>
      <c r="B18" s="11" t="str">
        <f t="shared" si="3"/>
        <v>Mississippi Bend AEA 9</v>
      </c>
      <c r="C18" s="22">
        <f>SUMIFS(INDEX(Data_Detail[],0,MATCH(C$14,Data_Detail[#Headers],0)),Data_Detail[AEA],$A18,Data_Detail[FiscalYear],$K$2)</f>
        <v>23600</v>
      </c>
      <c r="D18" s="19">
        <f>SUMIFS(INDEX(Data_Detail[],0,MATCH(D$14,Data_Detail[#Headers],0)),Data_Detail[AEA],$A18,Data_Detail[FiscalYear],$K$2)</f>
        <v>6401</v>
      </c>
      <c r="E18" s="50">
        <f t="shared" si="4"/>
        <v>30001</v>
      </c>
      <c r="F18" s="22">
        <f>SUMIFS(INDEX(Data_Detail[],0,MATCH(F$14,Data_Detail[#Headers],0)),Data_Detail[AEA],$A18,Data_Detail[FiscalYear],$K$2)</f>
        <v>1615203</v>
      </c>
      <c r="G18" s="60"/>
      <c r="H18" s="66" t="s">
        <v>731</v>
      </c>
    </row>
    <row r="19" spans="1:12" x14ac:dyDescent="0.25">
      <c r="A19" s="11" t="str">
        <f t="shared" si="3"/>
        <v>10</v>
      </c>
      <c r="B19" s="11" t="str">
        <f t="shared" si="3"/>
        <v>Grant Wood AEA 10</v>
      </c>
      <c r="C19" s="22">
        <f>SUMIFS(INDEX(Data_Detail[],0,MATCH(C$14,Data_Detail[#Headers],0)),Data_Detail[AEA],$A19,Data_Detail[FiscalYear],$K$2)</f>
        <v>23732</v>
      </c>
      <c r="D19" s="19">
        <f>SUMIFS(INDEX(Data_Detail[],0,MATCH(D$14,Data_Detail[#Headers],0)),Data_Detail[AEA],$A19,Data_Detail[FiscalYear],$K$2)</f>
        <v>6268</v>
      </c>
      <c r="E19" s="50">
        <f t="shared" si="4"/>
        <v>30000</v>
      </c>
      <c r="F19" s="22">
        <f>SUMIFS(INDEX(Data_Detail[],0,MATCH(F$14,Data_Detail[#Headers],0)),Data_Detail[AEA],$A19,Data_Detail[FiscalYear],$K$2)</f>
        <v>2515465</v>
      </c>
      <c r="G19" s="60"/>
      <c r="H19" s="66"/>
    </row>
    <row r="20" spans="1:12" x14ac:dyDescent="0.25">
      <c r="A20" s="11" t="str">
        <f t="shared" si="3"/>
        <v>11</v>
      </c>
      <c r="B20" s="11" t="str">
        <f t="shared" si="3"/>
        <v>Heartland AEA 11</v>
      </c>
      <c r="C20" s="22">
        <f>SUMIFS(INDEX(Data_Detail[],0,MATCH(C$14,Data_Detail[#Headers],0)),Data_Detail[AEA],$A20,Data_Detail[FiscalYear],$K$2)</f>
        <v>0</v>
      </c>
      <c r="D20" s="19">
        <f>SUMIFS(INDEX(Data_Detail[],0,MATCH(D$14,Data_Detail[#Headers],0)),Data_Detail[AEA],$A20,Data_Detail[FiscalYear],$K$2)</f>
        <v>0</v>
      </c>
      <c r="E20" s="50">
        <f t="shared" si="4"/>
        <v>0</v>
      </c>
      <c r="F20" s="22">
        <f>SUMIFS(INDEX(Data_Detail[],0,MATCH(F$14,Data_Detail[#Headers],0)),Data_Detail[AEA],$A20,Data_Detail[FiscalYear],$K$2)</f>
        <v>4623704</v>
      </c>
      <c r="G20" s="60"/>
    </row>
    <row r="21" spans="1:12" x14ac:dyDescent="0.25">
      <c r="A21" s="11" t="str">
        <f t="shared" si="3"/>
        <v>12</v>
      </c>
      <c r="B21" s="11" t="str">
        <f t="shared" si="3"/>
        <v>Northwest AEA</v>
      </c>
      <c r="C21" s="22">
        <f>SUMIFS(INDEX(Data_Detail[],0,MATCH(C$14,Data_Detail[#Headers],0)),Data_Detail[AEA],$A21,Data_Detail[FiscalYear],$K$2)</f>
        <v>23222</v>
      </c>
      <c r="D21" s="19">
        <f>SUMIFS(INDEX(Data_Detail[],0,MATCH(D$14,Data_Detail[#Headers],0)),Data_Detail[AEA],$A21,Data_Detail[FiscalYear],$K$2)</f>
        <v>6778</v>
      </c>
      <c r="E21" s="50">
        <f t="shared" si="4"/>
        <v>30000</v>
      </c>
      <c r="F21" s="22">
        <f>SUMIFS(INDEX(Data_Detail[],0,MATCH(F$14,Data_Detail[#Headers],0)),Data_Detail[AEA],$A21,Data_Detail[FiscalYear],$K$2)</f>
        <v>1595606</v>
      </c>
      <c r="G21" s="60"/>
    </row>
    <row r="22" spans="1:12" x14ac:dyDescent="0.25">
      <c r="A22" s="11" t="str">
        <f t="shared" si="3"/>
        <v>13</v>
      </c>
      <c r="B22" s="11" t="str">
        <f t="shared" si="3"/>
        <v>Green Hills AEA 13</v>
      </c>
      <c r="C22" s="22">
        <f>SUMIFS(INDEX(Data_Detail[],0,MATCH(C$14,Data_Detail[#Headers],0)),Data_Detail[AEA],$A22,Data_Detail[FiscalYear],$K$2)</f>
        <v>23667</v>
      </c>
      <c r="D22" s="19">
        <f>SUMIFS(INDEX(Data_Detail[],0,MATCH(D$14,Data_Detail[#Headers],0)),Data_Detail[AEA],$A22,Data_Detail[FiscalYear],$K$2)</f>
        <v>6334</v>
      </c>
      <c r="E22" s="50">
        <f t="shared" si="4"/>
        <v>30001</v>
      </c>
      <c r="F22" s="22">
        <f>SUMIFS(INDEX(Data_Detail[],0,MATCH(F$14,Data_Detail[#Headers],0)),Data_Detail[AEA],$A22,Data_Detail[FiscalYear],$K$2)</f>
        <v>1506001</v>
      </c>
      <c r="G22" s="60"/>
    </row>
    <row r="23" spans="1:12" x14ac:dyDescent="0.25">
      <c r="A23" s="11" t="str">
        <f t="shared" si="3"/>
        <v>15</v>
      </c>
      <c r="B23" s="11" t="str">
        <f t="shared" si="3"/>
        <v>Great Prairie AEA 15</v>
      </c>
      <c r="C23" s="22">
        <f>SUMIFS(INDEX(Data_Detail[],0,MATCH(C$14,Data_Detail[#Headers],0)),Data_Detail[AEA],$A23,Data_Detail[FiscalYear],$K$2)</f>
        <v>23849</v>
      </c>
      <c r="D23" s="19">
        <f>SUMIFS(INDEX(Data_Detail[],0,MATCH(D$14,Data_Detail[#Headers],0)),Data_Detail[AEA],$A23,Data_Detail[FiscalYear],$K$2)</f>
        <v>6152</v>
      </c>
      <c r="E23" s="50">
        <f t="shared" si="4"/>
        <v>30001</v>
      </c>
      <c r="F23" s="22">
        <f>SUMIFS(INDEX(Data_Detail[],0,MATCH(F$14,Data_Detail[#Headers],0)),Data_Detail[AEA],$A23,Data_Detail[FiscalYear],$K$2)</f>
        <v>1308929</v>
      </c>
      <c r="G23" s="60"/>
    </row>
    <row r="24" spans="1:12" ht="15.75" thickBot="1" x14ac:dyDescent="0.3">
      <c r="C24" s="14">
        <f>SUM(C15:C23)</f>
        <v>164227</v>
      </c>
      <c r="D24" s="15">
        <f>SUM(D15:D23)</f>
        <v>45777</v>
      </c>
      <c r="E24" s="20">
        <f>SUM(E15:E23)</f>
        <v>210004</v>
      </c>
      <c r="F24" s="23">
        <f>SUM(F15:F23)</f>
        <v>18564478</v>
      </c>
      <c r="G24" s="6"/>
      <c r="K24" s="67" t="s">
        <v>735</v>
      </c>
      <c r="L24" s="69" t="s">
        <v>733</v>
      </c>
    </row>
    <row r="25" spans="1:12" ht="7.5" customHeight="1" thickTop="1" x14ac:dyDescent="0.25">
      <c r="F25" s="6"/>
      <c r="G25" s="6"/>
      <c r="H25" s="6"/>
      <c r="K25" s="67"/>
      <c r="L25" s="69"/>
    </row>
    <row r="26" spans="1:12" ht="30" customHeight="1" x14ac:dyDescent="0.25">
      <c r="A26" s="17" t="str">
        <f t="shared" ref="A26:B35" si="5">A14</f>
        <v>AEA</v>
      </c>
      <c r="B26" s="17" t="str">
        <f t="shared" si="5"/>
        <v>AEA Name</v>
      </c>
      <c r="C26" s="9" t="str">
        <f>Data_Detail[[#Headers],[AEA Media Services District Cost]]</f>
        <v>AEA Media Services District Cost</v>
      </c>
      <c r="D26" s="9" t="str">
        <f>Data_Detail[[#Headers],[AEA Ed Services District Cost]]</f>
        <v>AEA Ed Services District Cost</v>
      </c>
      <c r="E26" s="8" t="str">
        <f>Data_Detail[[#Headers],[Total Budget]]</f>
        <v>Total Budget</v>
      </c>
      <c r="F26" s="21" t="str">
        <f>Data_Detail[[#Headers],[State Aid Portion]]</f>
        <v>State Aid Portion</v>
      </c>
      <c r="G26" s="9" t="str">
        <f>Data_Detail[[#Headers],[Property Tax Portion]]</f>
        <v>Property Tax Portion</v>
      </c>
      <c r="K26" s="68"/>
      <c r="L26" s="70"/>
    </row>
    <row r="27" spans="1:12" x14ac:dyDescent="0.25">
      <c r="A27" s="11" t="str">
        <f t="shared" si="5"/>
        <v>01</v>
      </c>
      <c r="B27" s="11" t="str">
        <f t="shared" si="5"/>
        <v>Keystone AEA 1</v>
      </c>
      <c r="C27" s="19">
        <f>SUMIFS(INDEX(Data_Detail[],0,MATCH(C$26,Data_Detail[#Headers],0)),Data_Detail[AEA],$A27,Data_Detail[FiscalYear],$K$2)</f>
        <v>807734</v>
      </c>
      <c r="D27" s="19">
        <f>SUMIFS(INDEX(Data_Detail[],0,MATCH(D$26,Data_Detail[#Headers],0)),Data_Detail[AEA],$A27,Data_Detail[FiscalYear],$K$2)</f>
        <v>899752</v>
      </c>
      <c r="E27" s="47">
        <f>SUMIFS(INDEX(Data_Detail[],0,MATCH(E$26,Data_Detail[#Headers],0)),Data_Detail[AEA],$A27,Data_Detail[FiscalYear],$K$2)</f>
        <v>12472698</v>
      </c>
      <c r="F27" s="48">
        <f>SUMIFS(INDEX(Data_Detail[],0,MATCH(F$26,Data_Detail[#Headers],0)),Data_Detail[AEA],$A27,Data_Detail[FiscalYear],$K$2)</f>
        <v>7959399</v>
      </c>
      <c r="G27" s="50">
        <f>SUMIFS(INDEX(Data_Detail[],0,MATCH(G$26,Data_Detail[#Headers],0)),Data_Detail[AEA],$A27,Data_Detail[FiscalYear],$K$2)</f>
        <v>4513299</v>
      </c>
      <c r="J27" s="6"/>
      <c r="K27" s="6">
        <f t="shared" ref="K27:K35" si="6">F27-G15-F15-C15-F3</f>
        <v>0</v>
      </c>
      <c r="L27" s="6">
        <f t="shared" ref="L27:L35" si="7">G27-D27-C27-D15-H3-G3</f>
        <v>0</v>
      </c>
    </row>
    <row r="28" spans="1:12" x14ac:dyDescent="0.25">
      <c r="A28" s="11" t="str">
        <f t="shared" si="5"/>
        <v>05</v>
      </c>
      <c r="B28" s="11" t="str">
        <f t="shared" si="5"/>
        <v>Prairie Lakes AEA 8</v>
      </c>
      <c r="C28" s="19">
        <f>SUMIFS(INDEX(Data_Detail[],0,MATCH(C$26,Data_Detail[#Headers],0)),Data_Detail[AEA],$A28,Data_Detail[FiscalYear],$K$2)</f>
        <v>816737</v>
      </c>
      <c r="D28" s="19">
        <f>SUMIFS(INDEX(Data_Detail[],0,MATCH(D$26,Data_Detail[#Headers],0)),Data_Detail[AEA],$A28,Data_Detail[FiscalYear],$K$2)</f>
        <v>914643</v>
      </c>
      <c r="E28" s="47">
        <f>SUMIFS(INDEX(Data_Detail[],0,MATCH(E$26,Data_Detail[#Headers],0)),Data_Detail[AEA],$A28,Data_Detail[FiscalYear],$K$2)</f>
        <v>13007855</v>
      </c>
      <c r="F28" s="48">
        <f>SUMIFS(INDEX(Data_Detail[],0,MATCH(F$26,Data_Detail[#Headers],0)),Data_Detail[AEA],$A28,Data_Detail[FiscalYear],$K$2)</f>
        <v>8370719</v>
      </c>
      <c r="G28" s="50">
        <f>SUMIFS(INDEX(Data_Detail[],0,MATCH(G$26,Data_Detail[#Headers],0)),Data_Detail[AEA],$A28,Data_Detail[FiscalYear],$K$2)</f>
        <v>4637136</v>
      </c>
      <c r="J28" s="6"/>
      <c r="K28" s="6">
        <f t="shared" si="6"/>
        <v>0</v>
      </c>
      <c r="L28" s="6">
        <f t="shared" si="7"/>
        <v>0</v>
      </c>
    </row>
    <row r="29" spans="1:12" x14ac:dyDescent="0.25">
      <c r="A29" s="11" t="str">
        <f t="shared" si="5"/>
        <v>07</v>
      </c>
      <c r="B29" s="11" t="str">
        <f t="shared" si="5"/>
        <v>Central Rivers</v>
      </c>
      <c r="C29" s="19">
        <f>SUMIFS(INDEX(Data_Detail[],0,MATCH(C$26,Data_Detail[#Headers],0)),Data_Detail[AEA],$A29,Data_Detail[FiscalYear],$K$2)</f>
        <v>1645929</v>
      </c>
      <c r="D29" s="19">
        <f>SUMIFS(INDEX(Data_Detail[],0,MATCH(D$26,Data_Detail[#Headers],0)),Data_Detail[AEA],$A29,Data_Detail[FiscalYear],$K$2)</f>
        <v>1834892</v>
      </c>
      <c r="E29" s="47">
        <f>SUMIFS(INDEX(Data_Detail[],0,MATCH(E$26,Data_Detail[#Headers],0)),Data_Detail[AEA],$A29,Data_Detail[FiscalYear],$K$2)</f>
        <v>26773961</v>
      </c>
      <c r="F29" s="48">
        <f>SUMIFS(INDEX(Data_Detail[],0,MATCH(F$26,Data_Detail[#Headers],0)),Data_Detail[AEA],$A29,Data_Detail[FiscalYear],$K$2)</f>
        <v>17854855</v>
      </c>
      <c r="G29" s="50">
        <f>SUMIFS(INDEX(Data_Detail[],0,MATCH(G$26,Data_Detail[#Headers],0)),Data_Detail[AEA],$A29,Data_Detail[FiscalYear],$K$2)</f>
        <v>8919106</v>
      </c>
      <c r="J29" s="6"/>
      <c r="K29" s="6">
        <f t="shared" si="6"/>
        <v>0</v>
      </c>
      <c r="L29" s="6">
        <f t="shared" si="7"/>
        <v>0</v>
      </c>
    </row>
    <row r="30" spans="1:12" x14ac:dyDescent="0.25">
      <c r="A30" s="11" t="str">
        <f t="shared" si="5"/>
        <v>09</v>
      </c>
      <c r="B30" s="11" t="str">
        <f t="shared" si="5"/>
        <v>Mississippi Bend AEA 9</v>
      </c>
      <c r="C30" s="19">
        <f>SUMIFS(INDEX(Data_Detail[],0,MATCH(C$26,Data_Detail[#Headers],0)),Data_Detail[AEA],$A30,Data_Detail[FiscalYear],$K$2)</f>
        <v>1215736</v>
      </c>
      <c r="D30" s="19">
        <f>SUMIFS(INDEX(Data_Detail[],0,MATCH(D$26,Data_Detail[#Headers],0)),Data_Detail[AEA],$A30,Data_Detail[FiscalYear],$K$2)</f>
        <v>1329022</v>
      </c>
      <c r="E30" s="47">
        <f>SUMIFS(INDEX(Data_Detail[],0,MATCH(E$26,Data_Detail[#Headers],0)),Data_Detail[AEA],$A30,Data_Detail[FiscalYear],$K$2)</f>
        <v>18790619</v>
      </c>
      <c r="F30" s="48">
        <f>SUMIFS(INDEX(Data_Detail[],0,MATCH(F$26,Data_Detail[#Headers],0)),Data_Detail[AEA],$A30,Data_Detail[FiscalYear],$K$2)</f>
        <v>12400626</v>
      </c>
      <c r="G30" s="50">
        <f>SUMIFS(INDEX(Data_Detail[],0,MATCH(G$26,Data_Detail[#Headers],0)),Data_Detail[AEA],$A30,Data_Detail[FiscalYear],$K$2)</f>
        <v>6389993</v>
      </c>
      <c r="J30" s="6"/>
      <c r="K30" s="6">
        <f t="shared" si="6"/>
        <v>0</v>
      </c>
      <c r="L30" s="6">
        <f t="shared" si="7"/>
        <v>0</v>
      </c>
    </row>
    <row r="31" spans="1:12" x14ac:dyDescent="0.25">
      <c r="A31" s="11" t="str">
        <f t="shared" si="5"/>
        <v>10</v>
      </c>
      <c r="B31" s="11" t="str">
        <f t="shared" si="5"/>
        <v>Grant Wood AEA 10</v>
      </c>
      <c r="C31" s="19">
        <f>SUMIFS(INDEX(Data_Detail[],0,MATCH(C$26,Data_Detail[#Headers],0)),Data_Detail[AEA],$A31,Data_Detail[FiscalYear],$K$2)</f>
        <v>1885841</v>
      </c>
      <c r="D31" s="19">
        <f>SUMIFS(INDEX(Data_Detail[],0,MATCH(D$26,Data_Detail[#Headers],0)),Data_Detail[AEA],$A31,Data_Detail[FiscalYear],$K$2)</f>
        <v>2073506</v>
      </c>
      <c r="E31" s="47">
        <f>SUMIFS(INDEX(Data_Detail[],0,MATCH(E$26,Data_Detail[#Headers],0)),Data_Detail[AEA],$A31,Data_Detail[FiscalYear],$K$2)</f>
        <v>28527804</v>
      </c>
      <c r="F31" s="48">
        <f>SUMIFS(INDEX(Data_Detail[],0,MATCH(F$26,Data_Detail[#Headers],0)),Data_Detail[AEA],$A31,Data_Detail[FiscalYear],$K$2)</f>
        <v>18921885</v>
      </c>
      <c r="G31" s="50">
        <f>SUMIFS(INDEX(Data_Detail[],0,MATCH(G$26,Data_Detail[#Headers],0)),Data_Detail[AEA],$A31,Data_Detail[FiscalYear],$K$2)</f>
        <v>9605919</v>
      </c>
      <c r="J31" s="6"/>
      <c r="K31" s="6">
        <f t="shared" si="6"/>
        <v>0</v>
      </c>
      <c r="L31" s="6">
        <f t="shared" si="7"/>
        <v>0</v>
      </c>
    </row>
    <row r="32" spans="1:12" x14ac:dyDescent="0.25">
      <c r="A32" s="11" t="str">
        <f t="shared" si="5"/>
        <v>11</v>
      </c>
      <c r="B32" s="11" t="str">
        <f t="shared" si="5"/>
        <v>Heartland AEA 11</v>
      </c>
      <c r="C32" s="19">
        <f>SUMIFS(INDEX(Data_Detail[],0,MATCH(C$26,Data_Detail[#Headers],0)),Data_Detail[AEA],$A32,Data_Detail[FiscalYear],$K$2)</f>
        <v>3884077</v>
      </c>
      <c r="D32" s="19">
        <f>SUMIFS(INDEX(Data_Detail[],0,MATCH(D$26,Data_Detail[#Headers],0)),Data_Detail[AEA],$A32,Data_Detail[FiscalYear],$K$2)</f>
        <v>4267657</v>
      </c>
      <c r="E32" s="47">
        <f>SUMIFS(INDEX(Data_Detail[],0,MATCH(E$26,Data_Detail[#Headers],0)),Data_Detail[AEA],$A32,Data_Detail[FiscalYear],$K$2)</f>
        <v>57304196</v>
      </c>
      <c r="F32" s="48">
        <f>SUMIFS(INDEX(Data_Detail[],0,MATCH(F$26,Data_Detail[#Headers],0)),Data_Detail[AEA],$A32,Data_Detail[FiscalYear],$K$2)</f>
        <v>38731511</v>
      </c>
      <c r="G32" s="50">
        <f>SUMIFS(INDEX(Data_Detail[],0,MATCH(G$26,Data_Detail[#Headers],0)),Data_Detail[AEA],$A32,Data_Detail[FiscalYear],$K$2)</f>
        <v>18572685</v>
      </c>
      <c r="J32" s="6"/>
      <c r="K32" s="6">
        <f t="shared" si="6"/>
        <v>0</v>
      </c>
      <c r="L32" s="6">
        <f t="shared" si="7"/>
        <v>0</v>
      </c>
    </row>
    <row r="33" spans="1:12" x14ac:dyDescent="0.25">
      <c r="A33" s="11" t="str">
        <f t="shared" si="5"/>
        <v>12</v>
      </c>
      <c r="B33" s="11" t="str">
        <f t="shared" si="5"/>
        <v>Northwest AEA</v>
      </c>
      <c r="C33" s="19">
        <f>SUMIFS(INDEX(Data_Detail[],0,MATCH(C$26,Data_Detail[#Headers],0)),Data_Detail[AEA],$A33,Data_Detail[FiscalYear],$K$2)</f>
        <v>1150261</v>
      </c>
      <c r="D33" s="19">
        <f>SUMIFS(INDEX(Data_Detail[],0,MATCH(D$26,Data_Detail[#Headers],0)),Data_Detail[AEA],$A33,Data_Detail[FiscalYear],$K$2)</f>
        <v>1287750</v>
      </c>
      <c r="E33" s="47">
        <f>SUMIFS(INDEX(Data_Detail[],0,MATCH(E$26,Data_Detail[#Headers],0)),Data_Detail[AEA],$A33,Data_Detail[FiscalYear],$K$2)</f>
        <v>17251166</v>
      </c>
      <c r="F33" s="48">
        <f>SUMIFS(INDEX(Data_Detail[],0,MATCH(F$26,Data_Detail[#Headers],0)),Data_Detail[AEA],$A33,Data_Detail[FiscalYear],$K$2)</f>
        <v>11162299</v>
      </c>
      <c r="G33" s="50">
        <f>SUMIFS(INDEX(Data_Detail[],0,MATCH(G$26,Data_Detail[#Headers],0)),Data_Detail[AEA],$A33,Data_Detail[FiscalYear],$K$2)</f>
        <v>6088867</v>
      </c>
      <c r="J33" s="6"/>
      <c r="K33" s="6">
        <f t="shared" si="6"/>
        <v>0</v>
      </c>
      <c r="L33" s="6">
        <f t="shared" si="7"/>
        <v>0</v>
      </c>
    </row>
    <row r="34" spans="1:12" x14ac:dyDescent="0.25">
      <c r="A34" s="11" t="str">
        <f t="shared" si="5"/>
        <v>13</v>
      </c>
      <c r="B34" s="11" t="str">
        <f t="shared" si="5"/>
        <v>Green Hills AEA 13</v>
      </c>
      <c r="C34" s="19">
        <f>SUMIFS(INDEX(Data_Detail[],0,MATCH(C$26,Data_Detail[#Headers],0)),Data_Detail[AEA],$A34,Data_Detail[FiscalYear],$K$2)</f>
        <v>960922</v>
      </c>
      <c r="D34" s="19">
        <f>SUMIFS(INDEX(Data_Detail[],0,MATCH(D$26,Data_Detail[#Headers],0)),Data_Detail[AEA],$A34,Data_Detail[FiscalYear],$K$2)</f>
        <v>1062418</v>
      </c>
      <c r="E34" s="47">
        <f>SUMIFS(INDEX(Data_Detail[],0,MATCH(E$26,Data_Detail[#Headers],0)),Data_Detail[AEA],$A34,Data_Detail[FiscalYear],$K$2)</f>
        <v>15739037</v>
      </c>
      <c r="F34" s="48">
        <f>SUMIFS(INDEX(Data_Detail[],0,MATCH(F$26,Data_Detail[#Headers],0)),Data_Detail[AEA],$A34,Data_Detail[FiscalYear],$K$2)</f>
        <v>10527304</v>
      </c>
      <c r="G34" s="50">
        <f>SUMIFS(INDEX(Data_Detail[],0,MATCH(G$26,Data_Detail[#Headers],0)),Data_Detail[AEA],$A34,Data_Detail[FiscalYear],$K$2)</f>
        <v>5211733</v>
      </c>
      <c r="J34" s="6"/>
      <c r="K34" s="6">
        <f t="shared" si="6"/>
        <v>0</v>
      </c>
      <c r="L34" s="6">
        <f t="shared" si="7"/>
        <v>0</v>
      </c>
    </row>
    <row r="35" spans="1:12" x14ac:dyDescent="0.25">
      <c r="A35" s="11" t="str">
        <f t="shared" si="5"/>
        <v>15</v>
      </c>
      <c r="B35" s="11" t="str">
        <f t="shared" si="5"/>
        <v>Great Prairie AEA 15</v>
      </c>
      <c r="C35" s="19">
        <f>SUMIFS(INDEX(Data_Detail[],0,MATCH(C$26,Data_Detail[#Headers],0)),Data_Detail[AEA],$A35,Data_Detail[FiscalYear],$K$2)</f>
        <v>885624</v>
      </c>
      <c r="D35" s="19">
        <f>SUMIFS(INDEX(Data_Detail[],0,MATCH(D$26,Data_Detail[#Headers],0)),Data_Detail[AEA],$A35,Data_Detail[FiscalYear],$K$2)</f>
        <v>973641</v>
      </c>
      <c r="E35" s="47">
        <f>SUMIFS(INDEX(Data_Detail[],0,MATCH(E$26,Data_Detail[#Headers],0)),Data_Detail[AEA],$A35,Data_Detail[FiscalYear],$K$2)</f>
        <v>14033701</v>
      </c>
      <c r="F35" s="48">
        <f>SUMIFS(INDEX(Data_Detail[],0,MATCH(F$26,Data_Detail[#Headers],0)),Data_Detail[AEA],$A35,Data_Detail[FiscalYear],$K$2)</f>
        <v>9389615</v>
      </c>
      <c r="G35" s="54">
        <f>SUMIFS(INDEX(Data_Detail[],0,MATCH(G$26,Data_Detail[#Headers],0)),Data_Detail[AEA],$A35,Data_Detail[FiscalYear],$K$2)</f>
        <v>4644086</v>
      </c>
      <c r="J35" s="6"/>
      <c r="K35" s="6">
        <f t="shared" si="6"/>
        <v>0</v>
      </c>
      <c r="L35" s="6">
        <f t="shared" si="7"/>
        <v>0</v>
      </c>
    </row>
    <row r="36" spans="1:12" ht="15.75" thickBot="1" x14ac:dyDescent="0.3">
      <c r="C36" s="15">
        <f t="shared" ref="C36:E36" si="8">SUM(C27:C35)</f>
        <v>13252861</v>
      </c>
      <c r="D36" s="15">
        <f t="shared" si="8"/>
        <v>14643281</v>
      </c>
      <c r="E36" s="52">
        <f t="shared" si="8"/>
        <v>203901037</v>
      </c>
      <c r="F36" s="53">
        <f>SUM(F27:F35)</f>
        <v>135318213</v>
      </c>
      <c r="G36" s="55">
        <f>SUM(G27:G35)</f>
        <v>68582824</v>
      </c>
      <c r="K36" s="6"/>
      <c r="L36" s="6"/>
    </row>
    <row r="37" spans="1:12" ht="15.75" thickTop="1" x14ac:dyDescent="0.25"/>
    <row r="39" spans="1:12" x14ac:dyDescent="0.25">
      <c r="H39" s="6"/>
    </row>
  </sheetData>
  <sheetProtection sheet="1" objects="1" scenarios="1"/>
  <mergeCells count="5">
    <mergeCell ref="A1:I1"/>
    <mergeCell ref="H16:H17"/>
    <mergeCell ref="H18:H19"/>
    <mergeCell ref="K24:K26"/>
    <mergeCell ref="L24:L26"/>
  </mergeCells>
  <pageMargins left="0.25" right="0.25" top="0.75" bottom="0.75" header="0.3" footer="0.3"/>
  <pageSetup scale="77" orientation="landscape" r:id="rId1"/>
  <headerFooter>
    <oddFooter>&amp;LDepartment of Management&amp;R&amp;D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9F8FC-A663-44A5-9333-722F29252FB1}">
  <sheetPr>
    <tabColor rgb="FFFF0000"/>
    <pageSetUpPr fitToPage="1"/>
  </sheetPr>
  <dimension ref="A1:P29"/>
  <sheetViews>
    <sheetView topLeftCell="A2" workbookViewId="0">
      <selection activeCell="L16" sqref="L16:L26"/>
    </sheetView>
  </sheetViews>
  <sheetFormatPr defaultRowHeight="15" x14ac:dyDescent="0.25"/>
  <cols>
    <col min="1" max="1" width="7" customWidth="1"/>
    <col min="2" max="2" width="22.42578125" bestFit="1" customWidth="1"/>
    <col min="3" max="3" width="11.85546875" bestFit="1" customWidth="1"/>
    <col min="4" max="4" width="14.140625" customWidth="1"/>
    <col min="5" max="5" width="13.85546875" customWidth="1"/>
    <col min="6" max="6" width="11.42578125" bestFit="1" customWidth="1"/>
    <col min="7" max="8" width="12.28515625" bestFit="1" customWidth="1"/>
    <col min="9" max="9" width="11.42578125" customWidth="1"/>
    <col min="10" max="10" width="10.7109375" customWidth="1"/>
    <col min="11" max="11" width="15" customWidth="1"/>
    <col min="12" max="12" width="13.85546875" customWidth="1"/>
    <col min="13" max="13" width="17.7109375" customWidth="1"/>
    <col min="14" max="15" width="12.28515625" bestFit="1" customWidth="1"/>
    <col min="16" max="16" width="11.42578125" customWidth="1"/>
    <col min="17" max="17" width="10.7109375" customWidth="1"/>
  </cols>
  <sheetData>
    <row r="1" spans="1:16" s="10" customFormat="1" ht="87" hidden="1" customHeight="1" x14ac:dyDescent="0.25">
      <c r="A1" s="25"/>
      <c r="B1" s="25"/>
      <c r="C1" s="25" t="s">
        <v>749</v>
      </c>
      <c r="D1" s="25" t="s">
        <v>736</v>
      </c>
      <c r="E1" s="25" t="s">
        <v>750</v>
      </c>
      <c r="F1" s="25" t="s">
        <v>751</v>
      </c>
      <c r="G1" s="25" t="s">
        <v>752</v>
      </c>
      <c r="H1" s="25" t="s">
        <v>753</v>
      </c>
      <c r="I1" s="25" t="s">
        <v>754</v>
      </c>
      <c r="J1" s="25" t="s">
        <v>755</v>
      </c>
      <c r="K1" s="25" t="s">
        <v>756</v>
      </c>
    </row>
    <row r="2" spans="1:16" ht="25.5" customHeight="1" x14ac:dyDescent="0.25">
      <c r="B2" s="71" t="s">
        <v>758</v>
      </c>
      <c r="C2" s="71"/>
      <c r="D2" s="71"/>
      <c r="E2" s="71"/>
      <c r="F2" s="71"/>
      <c r="G2" s="71"/>
      <c r="H2" s="71"/>
      <c r="I2" s="71"/>
      <c r="J2" s="71"/>
    </row>
    <row r="3" spans="1:16" ht="31.5" customHeight="1" x14ac:dyDescent="0.25">
      <c r="A3" s="30" t="s">
        <v>47</v>
      </c>
      <c r="B3" s="30" t="s">
        <v>48</v>
      </c>
      <c r="C3" s="26" t="s">
        <v>737</v>
      </c>
      <c r="D3" s="26" t="s">
        <v>738</v>
      </c>
      <c r="E3" s="26" t="s">
        <v>739</v>
      </c>
      <c r="F3" s="26" t="s">
        <v>740</v>
      </c>
      <c r="G3" s="26" t="s">
        <v>741</v>
      </c>
      <c r="H3" s="26" t="s">
        <v>742</v>
      </c>
      <c r="I3" s="26" t="s">
        <v>743</v>
      </c>
      <c r="J3" s="31"/>
      <c r="K3" s="26" t="s">
        <v>738</v>
      </c>
      <c r="L3" s="26" t="s">
        <v>739</v>
      </c>
      <c r="M3" s="26" t="s">
        <v>740</v>
      </c>
      <c r="N3" s="26" t="s">
        <v>741</v>
      </c>
      <c r="O3" s="26" t="s">
        <v>742</v>
      </c>
      <c r="P3" s="26" t="s">
        <v>743</v>
      </c>
    </row>
    <row r="4" spans="1:16" x14ac:dyDescent="0.25">
      <c r="A4" t="s">
        <v>13</v>
      </c>
      <c r="B4" t="s">
        <v>49</v>
      </c>
      <c r="C4" s="27">
        <v>35.33</v>
      </c>
      <c r="D4" s="6">
        <v>11477381</v>
      </c>
      <c r="E4" s="6">
        <v>14190</v>
      </c>
      <c r="F4" s="6">
        <v>11491571</v>
      </c>
      <c r="G4" s="6">
        <v>807734</v>
      </c>
      <c r="H4" s="6">
        <v>899752</v>
      </c>
      <c r="I4" s="6">
        <v>30001</v>
      </c>
      <c r="K4" s="6">
        <f>D4-PaymentCodingTotal!C3</f>
        <v>0</v>
      </c>
      <c r="L4" s="6">
        <f>E4-PaymentCodingTotal!H3</f>
        <v>0</v>
      </c>
      <c r="N4" s="6">
        <f>G4-PaymentCodingTotal!C27</f>
        <v>0</v>
      </c>
      <c r="O4" s="6">
        <f>H4-PaymentCodingTotal!D27</f>
        <v>0</v>
      </c>
      <c r="P4" s="6">
        <f>I4-PaymentCodingTotal!E15</f>
        <v>0</v>
      </c>
    </row>
    <row r="5" spans="1:16" x14ac:dyDescent="0.25">
      <c r="A5" t="s">
        <v>14</v>
      </c>
      <c r="B5" t="s">
        <v>50</v>
      </c>
      <c r="C5" s="27">
        <v>37.29</v>
      </c>
      <c r="D5" s="6">
        <v>11854900</v>
      </c>
      <c r="E5" s="6">
        <v>138167</v>
      </c>
      <c r="F5" s="6">
        <v>11993067</v>
      </c>
      <c r="G5" s="6">
        <v>816737</v>
      </c>
      <c r="H5" s="6">
        <v>914643</v>
      </c>
      <c r="I5" s="6">
        <v>0</v>
      </c>
      <c r="K5" s="6">
        <f>D5-PaymentCodingTotal!C4</f>
        <v>0</v>
      </c>
      <c r="L5" s="6">
        <f>E5-PaymentCodingTotal!H4</f>
        <v>0</v>
      </c>
      <c r="N5" s="6">
        <f>G5-PaymentCodingTotal!C28</f>
        <v>0</v>
      </c>
      <c r="O5" s="6">
        <f>H5-PaymentCodingTotal!D28</f>
        <v>0</v>
      </c>
      <c r="P5" s="6">
        <f>I5-PaymentCodingTotal!E16</f>
        <v>0</v>
      </c>
    </row>
    <row r="6" spans="1:16" x14ac:dyDescent="0.25">
      <c r="A6" t="s">
        <v>15</v>
      </c>
      <c r="B6" t="s">
        <v>51</v>
      </c>
      <c r="C6" s="27">
        <v>42.56</v>
      </c>
      <c r="D6" s="6">
        <v>24281771</v>
      </c>
      <c r="E6" s="6">
        <v>120080</v>
      </c>
      <c r="F6" s="6">
        <v>24401851</v>
      </c>
      <c r="G6" s="6">
        <v>1645929</v>
      </c>
      <c r="H6" s="6">
        <v>1834892</v>
      </c>
      <c r="I6" s="6">
        <v>30000</v>
      </c>
      <c r="K6" s="6">
        <f>D6-PaymentCodingTotal!C5</f>
        <v>0</v>
      </c>
      <c r="L6" s="6">
        <f>E6-PaymentCodingTotal!H5</f>
        <v>0</v>
      </c>
      <c r="N6" s="6">
        <f>G6-PaymentCodingTotal!C29</f>
        <v>0</v>
      </c>
      <c r="O6" s="6">
        <f>H6-PaymentCodingTotal!D29</f>
        <v>0</v>
      </c>
      <c r="P6" s="6">
        <f>I6-PaymentCodingTotal!E17</f>
        <v>0</v>
      </c>
    </row>
    <row r="7" spans="1:16" x14ac:dyDescent="0.25">
      <c r="A7" t="s">
        <v>16</v>
      </c>
      <c r="B7" t="s">
        <v>52</v>
      </c>
      <c r="C7" s="27">
        <v>31.63</v>
      </c>
      <c r="D7" s="6">
        <v>17494746</v>
      </c>
      <c r="E7" s="6">
        <v>105832</v>
      </c>
      <c r="F7" s="6">
        <v>17600578</v>
      </c>
      <c r="G7" s="6">
        <v>1215736</v>
      </c>
      <c r="H7" s="6">
        <v>1329022</v>
      </c>
      <c r="I7" s="6">
        <v>30001</v>
      </c>
      <c r="K7" s="6">
        <f>D7-PaymentCodingTotal!C6</f>
        <v>0</v>
      </c>
      <c r="L7" s="6">
        <f>E7-PaymentCodingTotal!H6</f>
        <v>0</v>
      </c>
      <c r="N7" s="6">
        <f>G7-PaymentCodingTotal!C30</f>
        <v>0</v>
      </c>
      <c r="O7" s="6">
        <f>H7-PaymentCodingTotal!D30</f>
        <v>0</v>
      </c>
      <c r="P7" s="6">
        <f>I7-PaymentCodingTotal!E18</f>
        <v>0</v>
      </c>
    </row>
    <row r="8" spans="1:16" x14ac:dyDescent="0.25">
      <c r="A8" t="s">
        <v>17</v>
      </c>
      <c r="B8" t="s">
        <v>53</v>
      </c>
      <c r="C8" s="27">
        <v>32.380000000000003</v>
      </c>
      <c r="D8" s="6">
        <v>26483224</v>
      </c>
      <c r="E8" s="6">
        <v>106540</v>
      </c>
      <c r="F8" s="6">
        <v>26589764</v>
      </c>
      <c r="G8" s="6">
        <v>1885841</v>
      </c>
      <c r="H8" s="6">
        <v>2073506</v>
      </c>
      <c r="I8" s="6">
        <v>30000</v>
      </c>
      <c r="K8" s="6">
        <f>D8-PaymentCodingTotal!C7</f>
        <v>0</v>
      </c>
      <c r="L8" s="6">
        <f>E8-PaymentCodingTotal!H7</f>
        <v>0</v>
      </c>
      <c r="N8" s="6">
        <f>G8-PaymentCodingTotal!C31</f>
        <v>0</v>
      </c>
      <c r="O8" s="6">
        <f>H8-PaymentCodingTotal!D31</f>
        <v>0</v>
      </c>
      <c r="P8" s="6">
        <f>I8-PaymentCodingTotal!E19</f>
        <v>0</v>
      </c>
    </row>
    <row r="9" spans="1:16" x14ac:dyDescent="0.25">
      <c r="A9" t="s">
        <v>18</v>
      </c>
      <c r="B9" t="s">
        <v>54</v>
      </c>
      <c r="C9" s="27">
        <v>28.61</v>
      </c>
      <c r="D9" s="6">
        <v>53989595</v>
      </c>
      <c r="E9" s="6">
        <v>46909</v>
      </c>
      <c r="F9" s="6">
        <v>54036504</v>
      </c>
      <c r="G9" s="6">
        <v>3884077</v>
      </c>
      <c r="H9" s="6">
        <v>4267657</v>
      </c>
      <c r="I9" s="6">
        <v>0</v>
      </c>
      <c r="K9" s="6">
        <f>D9-PaymentCodingTotal!C8</f>
        <v>0</v>
      </c>
      <c r="L9" s="6">
        <f>E9-PaymentCodingTotal!H8</f>
        <v>0</v>
      </c>
      <c r="N9" s="6">
        <f>G9-PaymentCodingTotal!C32</f>
        <v>0</v>
      </c>
      <c r="O9" s="6">
        <f>H9-PaymentCodingTotal!D32</f>
        <v>0</v>
      </c>
      <c r="P9" s="6">
        <f>I9-PaymentCodingTotal!E20</f>
        <v>0</v>
      </c>
    </row>
    <row r="10" spans="1:16" x14ac:dyDescent="0.25">
      <c r="A10" t="s">
        <v>19</v>
      </c>
      <c r="B10" t="s">
        <v>55</v>
      </c>
      <c r="C10" s="27">
        <v>35.17</v>
      </c>
      <c r="D10" s="6">
        <v>15768181</v>
      </c>
      <c r="E10" s="6">
        <v>79672</v>
      </c>
      <c r="F10" s="6">
        <v>15847853</v>
      </c>
      <c r="G10" s="6">
        <v>1150261</v>
      </c>
      <c r="H10" s="6">
        <v>1287750</v>
      </c>
      <c r="I10" s="6">
        <v>30000</v>
      </c>
      <c r="K10" s="6">
        <f>D10-PaymentCodingTotal!C9</f>
        <v>0</v>
      </c>
      <c r="L10" s="6">
        <f>E10-PaymentCodingTotal!H9</f>
        <v>0</v>
      </c>
      <c r="N10" s="6">
        <f>G10-PaymentCodingTotal!C33</f>
        <v>0</v>
      </c>
      <c r="O10" s="6">
        <f>H10-PaymentCodingTotal!D33</f>
        <v>0</v>
      </c>
      <c r="P10" s="6">
        <f>I10-PaymentCodingTotal!E21</f>
        <v>0</v>
      </c>
    </row>
    <row r="11" spans="1:16" x14ac:dyDescent="0.25">
      <c r="A11" t="s">
        <v>20</v>
      </c>
      <c r="B11" t="s">
        <v>56</v>
      </c>
      <c r="C11" s="27">
        <v>35.15</v>
      </c>
      <c r="D11" s="6">
        <v>14585910</v>
      </c>
      <c r="E11" s="6">
        <v>101921</v>
      </c>
      <c r="F11" s="6">
        <v>14687831</v>
      </c>
      <c r="G11" s="6">
        <v>960922</v>
      </c>
      <c r="H11" s="6">
        <v>1062418</v>
      </c>
      <c r="I11" s="6">
        <v>30001</v>
      </c>
      <c r="K11" s="6">
        <f>D11-PaymentCodingTotal!C10</f>
        <v>0</v>
      </c>
      <c r="L11" s="6">
        <f>E11-PaymentCodingTotal!H10</f>
        <v>0</v>
      </c>
      <c r="N11" s="6">
        <f>G11-PaymentCodingTotal!C34</f>
        <v>0</v>
      </c>
      <c r="O11" s="6">
        <f>H11-PaymentCodingTotal!D34</f>
        <v>0</v>
      </c>
      <c r="P11" s="6">
        <f>I11-PaymentCodingTotal!E22</f>
        <v>0</v>
      </c>
    </row>
    <row r="12" spans="1:16" x14ac:dyDescent="0.25">
      <c r="A12" t="s">
        <v>21</v>
      </c>
      <c r="B12" t="s">
        <v>57</v>
      </c>
      <c r="C12" s="27">
        <v>34.159999999999997</v>
      </c>
      <c r="D12" s="6">
        <v>12960059</v>
      </c>
      <c r="E12" s="6">
        <v>121335</v>
      </c>
      <c r="F12" s="6">
        <v>13081394</v>
      </c>
      <c r="G12" s="6">
        <v>885624</v>
      </c>
      <c r="H12" s="6">
        <v>973641</v>
      </c>
      <c r="I12" s="6">
        <v>30001</v>
      </c>
      <c r="K12" s="6">
        <f>D12-PaymentCodingTotal!C11</f>
        <v>0</v>
      </c>
      <c r="L12" s="6">
        <f>E12-PaymentCodingTotal!H11</f>
        <v>0</v>
      </c>
      <c r="N12" s="6">
        <f>G12-PaymentCodingTotal!C35</f>
        <v>0</v>
      </c>
      <c r="O12" s="6">
        <f>H12-PaymentCodingTotal!D35</f>
        <v>0</v>
      </c>
      <c r="P12" s="6">
        <f>I12-PaymentCodingTotal!E23</f>
        <v>0</v>
      </c>
    </row>
    <row r="13" spans="1:16" ht="15.75" thickBot="1" x14ac:dyDescent="0.3">
      <c r="D13" s="28">
        <v>188895767</v>
      </c>
      <c r="E13" s="28">
        <v>834646</v>
      </c>
      <c r="F13" s="28">
        <v>189730413</v>
      </c>
      <c r="G13" s="28">
        <v>13252861</v>
      </c>
      <c r="H13" s="28">
        <v>14643281</v>
      </c>
      <c r="I13" s="28">
        <v>210004</v>
      </c>
      <c r="K13" s="6">
        <f>D13-PaymentCodingTotal!C12</f>
        <v>0</v>
      </c>
      <c r="L13" s="6">
        <f>E13-PaymentCodingTotal!H12</f>
        <v>0</v>
      </c>
      <c r="N13" s="6">
        <f>G13-PaymentCodingTotal!C36</f>
        <v>0</v>
      </c>
      <c r="O13" s="6">
        <f>H13-PaymentCodingTotal!D36</f>
        <v>0</v>
      </c>
      <c r="P13" s="6">
        <f>I13-PaymentCodingTotal!E24</f>
        <v>0</v>
      </c>
    </row>
    <row r="14" spans="1:16" ht="7.5" customHeight="1" thickTop="1" x14ac:dyDescent="0.25">
      <c r="F14" s="6"/>
      <c r="G14" s="6"/>
      <c r="H14" s="6"/>
      <c r="I14" s="6"/>
      <c r="J14" s="6"/>
    </row>
    <row r="15" spans="1:16" ht="81.75" hidden="1" customHeight="1" x14ac:dyDescent="0.25">
      <c r="A15" s="29"/>
      <c r="B15" s="29"/>
      <c r="C15" s="25" t="s">
        <v>74</v>
      </c>
      <c r="D15" s="25" t="s">
        <v>75</v>
      </c>
      <c r="E15" s="25" t="s">
        <v>745</v>
      </c>
      <c r="F15" s="25" t="s">
        <v>66</v>
      </c>
      <c r="G15" s="25" t="s">
        <v>78</v>
      </c>
      <c r="H15" s="25" t="s">
        <v>79</v>
      </c>
      <c r="I15" s="25" t="s">
        <v>80</v>
      </c>
      <c r="J15" s="10"/>
    </row>
    <row r="16" spans="1:16" ht="45" x14ac:dyDescent="0.25">
      <c r="A16" s="30" t="s">
        <v>47</v>
      </c>
      <c r="B16" s="30" t="s">
        <v>48</v>
      </c>
      <c r="C16" s="26" t="s">
        <v>744</v>
      </c>
      <c r="D16" s="26" t="s">
        <v>745</v>
      </c>
      <c r="E16" s="26" t="s">
        <v>746</v>
      </c>
      <c r="F16" s="26" t="s">
        <v>78</v>
      </c>
      <c r="G16" s="26" t="s">
        <v>747</v>
      </c>
      <c r="H16" s="26" t="s">
        <v>748</v>
      </c>
      <c r="I16" s="32"/>
      <c r="K16" s="26" t="s">
        <v>744</v>
      </c>
      <c r="L16" s="26" t="s">
        <v>745</v>
      </c>
      <c r="M16" s="26" t="s">
        <v>746</v>
      </c>
      <c r="N16" s="26" t="s">
        <v>78</v>
      </c>
      <c r="O16" s="26" t="s">
        <v>747</v>
      </c>
      <c r="P16" s="26" t="s">
        <v>748</v>
      </c>
    </row>
    <row r="17" spans="1:16" x14ac:dyDescent="0.25">
      <c r="A17" t="s">
        <v>13</v>
      </c>
      <c r="B17" t="s">
        <v>49</v>
      </c>
      <c r="C17" s="6">
        <v>1138633</v>
      </c>
      <c r="D17" s="6">
        <v>14367691</v>
      </c>
      <c r="E17" s="6">
        <v>1894993</v>
      </c>
      <c r="F17" s="6">
        <v>12472698</v>
      </c>
      <c r="G17" s="6">
        <v>7959399</v>
      </c>
      <c r="H17" s="6">
        <v>4513299</v>
      </c>
      <c r="I17" s="6"/>
      <c r="K17" s="6">
        <f>C17-PaymentCodingTotal!F15</f>
        <v>0</v>
      </c>
      <c r="M17" s="6">
        <f>E17-PaymentCodingTotal!E3</f>
        <v>0</v>
      </c>
      <c r="N17" s="6">
        <f>F17-PaymentCodingTotal!E27</f>
        <v>0</v>
      </c>
      <c r="O17" s="6">
        <f>G17-PaymentCodingTotal!F27</f>
        <v>0</v>
      </c>
      <c r="P17" s="6">
        <f>H17-PaymentCodingTotal!G27</f>
        <v>0</v>
      </c>
    </row>
    <row r="18" spans="1:16" x14ac:dyDescent="0.25">
      <c r="A18" t="s">
        <v>14</v>
      </c>
      <c r="B18" t="s">
        <v>50</v>
      </c>
      <c r="C18" s="6">
        <v>1264347</v>
      </c>
      <c r="D18" s="6">
        <v>14988794</v>
      </c>
      <c r="E18" s="6">
        <v>1980939</v>
      </c>
      <c r="F18" s="6">
        <v>13007855</v>
      </c>
      <c r="G18" s="6">
        <v>8370719</v>
      </c>
      <c r="H18" s="6">
        <v>4637136</v>
      </c>
      <c r="I18" s="6"/>
      <c r="K18" s="6">
        <f>C18-PaymentCodingTotal!F16</f>
        <v>0</v>
      </c>
      <c r="M18" s="6">
        <f>E18-PaymentCodingTotal!E4</f>
        <v>0</v>
      </c>
      <c r="N18" s="6">
        <f>F18-PaymentCodingTotal!E28</f>
        <v>0</v>
      </c>
      <c r="O18" s="6">
        <f>G18-PaymentCodingTotal!F28</f>
        <v>0</v>
      </c>
      <c r="P18" s="6">
        <f>H18-PaymentCodingTotal!G28</f>
        <v>0</v>
      </c>
    </row>
    <row r="19" spans="1:16" x14ac:dyDescent="0.25">
      <c r="A19" t="s">
        <v>15</v>
      </c>
      <c r="B19" t="s">
        <v>51</v>
      </c>
      <c r="C19" s="6">
        <v>2996590</v>
      </c>
      <c r="D19" s="6">
        <v>30909262</v>
      </c>
      <c r="E19" s="6">
        <v>4135301</v>
      </c>
      <c r="F19" s="6">
        <v>26773961</v>
      </c>
      <c r="G19" s="6">
        <v>17854855</v>
      </c>
      <c r="H19" s="6">
        <v>8919106</v>
      </c>
      <c r="I19" s="6"/>
      <c r="K19" s="6">
        <f>C19-PaymentCodingTotal!F17</f>
        <v>0</v>
      </c>
      <c r="M19" s="6">
        <f>E19-PaymentCodingTotal!E5</f>
        <v>0</v>
      </c>
      <c r="N19" s="6">
        <f>F19-PaymentCodingTotal!E29</f>
        <v>0</v>
      </c>
      <c r="O19" s="6">
        <f>G19-PaymentCodingTotal!F29</f>
        <v>0</v>
      </c>
      <c r="P19" s="6">
        <f>H19-PaymentCodingTotal!G29</f>
        <v>0</v>
      </c>
    </row>
    <row r="20" spans="1:16" x14ac:dyDescent="0.25">
      <c r="A20" t="s">
        <v>16</v>
      </c>
      <c r="B20" t="s">
        <v>52</v>
      </c>
      <c r="C20" s="6">
        <v>1615203</v>
      </c>
      <c r="D20" s="6">
        <v>21790540</v>
      </c>
      <c r="E20" s="6">
        <v>2999921</v>
      </c>
      <c r="F20" s="6">
        <v>18790619</v>
      </c>
      <c r="G20" s="6">
        <v>12400626</v>
      </c>
      <c r="H20" s="6">
        <v>6389993</v>
      </c>
      <c r="I20" s="6"/>
      <c r="K20" s="6">
        <f>C20-PaymentCodingTotal!F18</f>
        <v>0</v>
      </c>
      <c r="M20" s="6">
        <f>E20-PaymentCodingTotal!E6</f>
        <v>0</v>
      </c>
      <c r="N20" s="6">
        <f>F20-PaymentCodingTotal!E30</f>
        <v>0</v>
      </c>
      <c r="O20" s="6">
        <f>G20-PaymentCodingTotal!F30</f>
        <v>0</v>
      </c>
      <c r="P20" s="6">
        <f>H20-PaymentCodingTotal!G30</f>
        <v>0</v>
      </c>
    </row>
    <row r="21" spans="1:16" x14ac:dyDescent="0.25">
      <c r="A21" t="s">
        <v>17</v>
      </c>
      <c r="B21" t="s">
        <v>53</v>
      </c>
      <c r="C21" s="6">
        <v>2515465</v>
      </c>
      <c r="D21" s="6">
        <v>33094576</v>
      </c>
      <c r="E21" s="6">
        <v>4566772</v>
      </c>
      <c r="F21" s="6">
        <v>28527804</v>
      </c>
      <c r="G21" s="6">
        <v>18921885</v>
      </c>
      <c r="H21" s="6">
        <v>9605919</v>
      </c>
      <c r="I21" s="6"/>
      <c r="K21" s="6">
        <f>C21-PaymentCodingTotal!F19</f>
        <v>0</v>
      </c>
      <c r="M21" s="6">
        <f>E21-PaymentCodingTotal!E7</f>
        <v>0</v>
      </c>
      <c r="N21" s="6">
        <f>F21-PaymentCodingTotal!E31</f>
        <v>0</v>
      </c>
      <c r="O21" s="6">
        <f>G21-PaymentCodingTotal!F31</f>
        <v>0</v>
      </c>
      <c r="P21" s="6">
        <f>H21-PaymentCodingTotal!G31</f>
        <v>0</v>
      </c>
    </row>
    <row r="22" spans="1:16" x14ac:dyDescent="0.25">
      <c r="A22" t="s">
        <v>18</v>
      </c>
      <c r="B22" t="s">
        <v>54</v>
      </c>
      <c r="C22" s="6">
        <v>4623704</v>
      </c>
      <c r="D22" s="6">
        <v>66811942</v>
      </c>
      <c r="E22" s="6">
        <v>9507746</v>
      </c>
      <c r="F22" s="6">
        <v>57304196</v>
      </c>
      <c r="G22" s="6">
        <v>38731511</v>
      </c>
      <c r="H22" s="6">
        <v>18572685</v>
      </c>
      <c r="I22" s="6"/>
      <c r="K22" s="6">
        <f>C22-PaymentCodingTotal!F20</f>
        <v>0</v>
      </c>
      <c r="M22" s="6">
        <f>E22-PaymentCodingTotal!E8</f>
        <v>0</v>
      </c>
      <c r="N22" s="6">
        <f>F22-PaymentCodingTotal!E32</f>
        <v>0</v>
      </c>
      <c r="O22" s="6">
        <f>G22-PaymentCodingTotal!F32</f>
        <v>0</v>
      </c>
      <c r="P22" s="6">
        <f>H22-PaymentCodingTotal!G32</f>
        <v>0</v>
      </c>
    </row>
    <row r="23" spans="1:16" x14ac:dyDescent="0.25">
      <c r="A23" t="s">
        <v>19</v>
      </c>
      <c r="B23" t="s">
        <v>55</v>
      </c>
      <c r="C23" s="6">
        <v>1595606</v>
      </c>
      <c r="D23" s="6">
        <v>19911470</v>
      </c>
      <c r="E23" s="6">
        <v>2660304</v>
      </c>
      <c r="F23" s="6">
        <v>17251166</v>
      </c>
      <c r="G23" s="6">
        <v>11162299</v>
      </c>
      <c r="H23" s="6">
        <v>6088867</v>
      </c>
      <c r="I23" s="6"/>
      <c r="K23" s="6">
        <f>C23-PaymentCodingTotal!F21</f>
        <v>0</v>
      </c>
      <c r="M23" s="6">
        <f>E23-PaymentCodingTotal!E9</f>
        <v>0</v>
      </c>
      <c r="N23" s="6">
        <f>F23-PaymentCodingTotal!E33</f>
        <v>0</v>
      </c>
      <c r="O23" s="6">
        <f>G23-PaymentCodingTotal!F33</f>
        <v>0</v>
      </c>
      <c r="P23" s="6">
        <f>H23-PaymentCodingTotal!G33</f>
        <v>0</v>
      </c>
    </row>
    <row r="24" spans="1:16" x14ac:dyDescent="0.25">
      <c r="A24" t="s">
        <v>20</v>
      </c>
      <c r="B24" t="s">
        <v>56</v>
      </c>
      <c r="C24" s="6">
        <v>1506001</v>
      </c>
      <c r="D24" s="6">
        <v>18247173</v>
      </c>
      <c r="E24" s="6">
        <v>2508136</v>
      </c>
      <c r="F24" s="6">
        <v>15739037</v>
      </c>
      <c r="G24" s="6">
        <v>10527304</v>
      </c>
      <c r="H24" s="6">
        <v>5211733</v>
      </c>
      <c r="I24" s="6"/>
      <c r="K24" s="6">
        <f>C24-PaymentCodingTotal!F22</f>
        <v>0</v>
      </c>
      <c r="M24" s="6">
        <f>E24-PaymentCodingTotal!E10</f>
        <v>0</v>
      </c>
      <c r="N24" s="6">
        <f>F24-PaymentCodingTotal!E34</f>
        <v>0</v>
      </c>
      <c r="O24" s="6">
        <f>G24-PaymentCodingTotal!F34</f>
        <v>0</v>
      </c>
      <c r="P24" s="6">
        <f>H24-PaymentCodingTotal!G34</f>
        <v>0</v>
      </c>
    </row>
    <row r="25" spans="1:16" x14ac:dyDescent="0.25">
      <c r="A25" t="s">
        <v>21</v>
      </c>
      <c r="B25" t="s">
        <v>57</v>
      </c>
      <c r="C25" s="6">
        <v>1308929</v>
      </c>
      <c r="D25" s="6">
        <v>16279589</v>
      </c>
      <c r="E25" s="6">
        <v>2245888</v>
      </c>
      <c r="F25" s="6">
        <v>14033701</v>
      </c>
      <c r="G25" s="6">
        <v>9389615</v>
      </c>
      <c r="H25" s="6">
        <v>4644086</v>
      </c>
      <c r="I25" s="6"/>
      <c r="K25" s="6">
        <f>C25-PaymentCodingTotal!F23</f>
        <v>0</v>
      </c>
      <c r="M25" s="6">
        <f>E25-PaymentCodingTotal!E11</f>
        <v>0</v>
      </c>
      <c r="N25" s="6">
        <f>F25-PaymentCodingTotal!E35</f>
        <v>0</v>
      </c>
      <c r="O25" s="6">
        <f>G25-PaymentCodingTotal!F35</f>
        <v>0</v>
      </c>
      <c r="P25" s="6">
        <f>H25-PaymentCodingTotal!G35</f>
        <v>0</v>
      </c>
    </row>
    <row r="26" spans="1:16" ht="15.75" thickBot="1" x14ac:dyDescent="0.3">
      <c r="C26" s="28">
        <v>18564478</v>
      </c>
      <c r="D26" s="28">
        <v>236401037</v>
      </c>
      <c r="E26" s="28">
        <v>32500000</v>
      </c>
      <c r="F26" s="28">
        <v>203901037</v>
      </c>
      <c r="G26" s="28">
        <v>135318213</v>
      </c>
      <c r="H26" s="28">
        <v>68582824</v>
      </c>
      <c r="I26" s="6"/>
      <c r="K26" s="6">
        <f>C26-PaymentCodingTotal!F24</f>
        <v>0</v>
      </c>
      <c r="M26" s="6">
        <f>E26-PaymentCodingTotal!E12</f>
        <v>0</v>
      </c>
      <c r="N26" s="6">
        <f>F26-PaymentCodingTotal!E36</f>
        <v>0</v>
      </c>
      <c r="O26" s="6">
        <f>G26-PaymentCodingTotal!F36</f>
        <v>0</v>
      </c>
      <c r="P26" s="6">
        <f>H26-PaymentCodingTotal!G36</f>
        <v>0</v>
      </c>
    </row>
    <row r="27" spans="1:16" ht="15.75" thickTop="1" x14ac:dyDescent="0.25"/>
    <row r="29" spans="1:16" x14ac:dyDescent="0.25">
      <c r="H29" s="6"/>
    </row>
  </sheetData>
  <mergeCells count="1">
    <mergeCell ref="B2:J2"/>
  </mergeCells>
  <pageMargins left="0.25" right="0.25" top="0.75" bottom="0.75" header="0.3" footer="0.3"/>
  <pageSetup scale="90" fitToWidth="0" orientation="landscape" r:id="rId1"/>
  <headerFooter>
    <oddHeader xml:space="preserve">&amp;C&amp;"-,Bold"&amp;14FY 2024 AEA Enrollments and Cost - Final - 3.0% of Growth - $29.6 million Reduction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D576A-B0FC-40B5-A77C-B8205B7C52BF}">
  <dimension ref="A1:V326"/>
  <sheetViews>
    <sheetView workbookViewId="0">
      <selection sqref="A1:V326"/>
    </sheetView>
  </sheetViews>
  <sheetFormatPr defaultRowHeight="15" x14ac:dyDescent="0.25"/>
  <cols>
    <col min="1" max="1" width="12" customWidth="1"/>
    <col min="2" max="2" width="9.140625" style="1"/>
    <col min="3" max="3" width="12.42578125" customWidth="1"/>
    <col min="4" max="4" width="9.140625" style="1"/>
    <col min="5" max="5" width="9.42578125" customWidth="1"/>
    <col min="6" max="6" width="52.140625" customWidth="1"/>
    <col min="7" max="7" width="27.42578125" customWidth="1"/>
    <col min="8" max="8" width="34" customWidth="1"/>
    <col min="9" max="9" width="35.85546875" customWidth="1"/>
    <col min="10" max="10" width="37.140625" customWidth="1"/>
    <col min="11" max="11" width="34.28515625" customWidth="1"/>
    <col min="12" max="12" width="62.5703125" customWidth="1"/>
    <col min="13" max="13" width="35.42578125" customWidth="1"/>
    <col min="14" max="14" width="31.5703125" customWidth="1"/>
    <col min="15" max="15" width="28.85546875" customWidth="1"/>
    <col min="16" max="16" width="42.140625" customWidth="1"/>
    <col min="17" max="17" width="53" customWidth="1"/>
    <col min="18" max="18" width="31.5703125" customWidth="1"/>
    <col min="19" max="19" width="28" customWidth="1"/>
    <col min="20" max="20" width="14.28515625" customWidth="1"/>
    <col min="21" max="21" width="18.140625" customWidth="1"/>
    <col min="22" max="22" width="21.28515625" customWidth="1"/>
  </cols>
  <sheetData>
    <row r="1" spans="1:22" x14ac:dyDescent="0.25">
      <c r="A1" t="s">
        <v>61</v>
      </c>
      <c r="B1" s="1" t="s">
        <v>47</v>
      </c>
      <c r="C1" t="s">
        <v>48</v>
      </c>
      <c r="D1" s="1" t="s">
        <v>62</v>
      </c>
      <c r="E1" t="s">
        <v>63</v>
      </c>
      <c r="F1" t="s">
        <v>64</v>
      </c>
      <c r="G1" t="s">
        <v>65</v>
      </c>
      <c r="H1" t="s">
        <v>66</v>
      </c>
      <c r="I1" t="s">
        <v>67</v>
      </c>
      <c r="J1" t="s">
        <v>68</v>
      </c>
      <c r="K1" t="s">
        <v>69</v>
      </c>
      <c r="L1" t="s">
        <v>70</v>
      </c>
      <c r="M1" t="s">
        <v>71</v>
      </c>
      <c r="N1" t="s">
        <v>72</v>
      </c>
      <c r="O1" t="s">
        <v>73</v>
      </c>
      <c r="P1" t="s">
        <v>74</v>
      </c>
      <c r="Q1" t="s">
        <v>75</v>
      </c>
      <c r="R1" t="s">
        <v>76</v>
      </c>
      <c r="S1" t="s">
        <v>77</v>
      </c>
      <c r="T1" t="s">
        <v>78</v>
      </c>
      <c r="U1" t="s">
        <v>79</v>
      </c>
      <c r="V1" t="s">
        <v>80</v>
      </c>
    </row>
    <row r="2" spans="1:22" x14ac:dyDescent="0.25">
      <c r="A2">
        <v>2025</v>
      </c>
      <c r="B2" s="1" t="s">
        <v>18</v>
      </c>
      <c r="C2" t="s">
        <v>54</v>
      </c>
      <c r="D2" s="1" t="s">
        <v>406</v>
      </c>
      <c r="E2" t="s">
        <v>81</v>
      </c>
      <c r="F2" s="6">
        <v>110299</v>
      </c>
      <c r="G2" s="6">
        <v>89105</v>
      </c>
      <c r="H2" s="6">
        <v>19424</v>
      </c>
      <c r="I2" s="6">
        <v>69681</v>
      </c>
      <c r="J2" s="6">
        <v>21194</v>
      </c>
      <c r="K2" s="6">
        <v>5369</v>
      </c>
      <c r="L2" s="6">
        <v>96244</v>
      </c>
      <c r="M2">
        <v>0</v>
      </c>
      <c r="N2">
        <v>0</v>
      </c>
      <c r="O2">
        <v>0</v>
      </c>
      <c r="P2" s="6">
        <v>9850</v>
      </c>
      <c r="Q2" s="6">
        <v>0</v>
      </c>
      <c r="R2" s="6">
        <v>7224</v>
      </c>
      <c r="S2" s="6">
        <v>7937</v>
      </c>
      <c r="T2" s="6">
        <v>121255</v>
      </c>
      <c r="U2" s="6">
        <v>79531</v>
      </c>
      <c r="V2" s="6">
        <v>41724</v>
      </c>
    </row>
    <row r="3" spans="1:22" x14ac:dyDescent="0.25">
      <c r="A3">
        <v>2025</v>
      </c>
      <c r="B3" s="1" t="s">
        <v>18</v>
      </c>
      <c r="C3" t="s">
        <v>54</v>
      </c>
      <c r="D3" s="1" t="s">
        <v>407</v>
      </c>
      <c r="E3" t="s">
        <v>82</v>
      </c>
      <c r="F3" s="6">
        <v>807649</v>
      </c>
      <c r="G3" s="6">
        <v>652460</v>
      </c>
      <c r="H3" s="6">
        <v>142230</v>
      </c>
      <c r="I3" s="6">
        <v>510230</v>
      </c>
      <c r="J3" s="6">
        <v>155189</v>
      </c>
      <c r="K3">
        <v>0</v>
      </c>
      <c r="L3" s="6">
        <v>665419</v>
      </c>
      <c r="M3">
        <v>0</v>
      </c>
      <c r="N3">
        <v>0</v>
      </c>
      <c r="O3">
        <v>0</v>
      </c>
      <c r="P3" s="6">
        <v>69137</v>
      </c>
      <c r="Q3" s="6">
        <v>0</v>
      </c>
      <c r="R3" s="6">
        <v>56061</v>
      </c>
      <c r="S3" s="6">
        <v>61597</v>
      </c>
      <c r="T3" s="6">
        <v>852214</v>
      </c>
      <c r="U3" s="6">
        <v>579367</v>
      </c>
      <c r="V3" s="6">
        <v>272847</v>
      </c>
    </row>
    <row r="4" spans="1:22" x14ac:dyDescent="0.25">
      <c r="A4">
        <v>2025</v>
      </c>
      <c r="B4" s="1" t="s">
        <v>15</v>
      </c>
      <c r="C4" t="s">
        <v>51</v>
      </c>
      <c r="D4" s="1" t="s">
        <v>408</v>
      </c>
      <c r="E4" t="s">
        <v>83</v>
      </c>
      <c r="F4" s="6">
        <v>285469</v>
      </c>
      <c r="G4" s="6">
        <v>223023</v>
      </c>
      <c r="H4" s="6">
        <v>48616</v>
      </c>
      <c r="I4" s="6">
        <v>174407</v>
      </c>
      <c r="J4" s="6">
        <v>62446</v>
      </c>
      <c r="K4">
        <v>0</v>
      </c>
      <c r="L4" s="6">
        <v>236853</v>
      </c>
      <c r="M4">
        <v>275</v>
      </c>
      <c r="N4">
        <v>78</v>
      </c>
      <c r="O4">
        <v>353</v>
      </c>
      <c r="P4" s="6">
        <v>35155</v>
      </c>
      <c r="Q4" s="6">
        <v>0</v>
      </c>
      <c r="R4" s="6">
        <v>18643</v>
      </c>
      <c r="S4" s="6">
        <v>20783</v>
      </c>
      <c r="T4" s="6">
        <v>311787</v>
      </c>
      <c r="U4" s="6">
        <v>209837</v>
      </c>
      <c r="V4" s="6">
        <v>101950</v>
      </c>
    </row>
    <row r="5" spans="1:22" x14ac:dyDescent="0.25">
      <c r="A5">
        <v>2025</v>
      </c>
      <c r="B5" s="1" t="s">
        <v>20</v>
      </c>
      <c r="C5" t="s">
        <v>56</v>
      </c>
      <c r="D5" s="1" t="s">
        <v>409</v>
      </c>
      <c r="E5" t="s">
        <v>84</v>
      </c>
      <c r="F5" s="6">
        <v>299605</v>
      </c>
      <c r="G5" s="6">
        <v>236336</v>
      </c>
      <c r="H5" s="6">
        <v>51519</v>
      </c>
      <c r="I5" s="6">
        <v>184817</v>
      </c>
      <c r="J5" s="6">
        <v>63269</v>
      </c>
      <c r="K5">
        <v>0</v>
      </c>
      <c r="L5" s="6">
        <v>248086</v>
      </c>
      <c r="M5">
        <v>486</v>
      </c>
      <c r="N5">
        <v>130</v>
      </c>
      <c r="O5">
        <v>616</v>
      </c>
      <c r="P5" s="6">
        <v>30767</v>
      </c>
      <c r="Q5" s="6">
        <v>0</v>
      </c>
      <c r="R5" s="6">
        <v>19982</v>
      </c>
      <c r="S5" s="6">
        <v>22093</v>
      </c>
      <c r="T5" s="6">
        <v>321544</v>
      </c>
      <c r="U5" s="6">
        <v>216070</v>
      </c>
      <c r="V5" s="6">
        <v>105474</v>
      </c>
    </row>
    <row r="6" spans="1:22" x14ac:dyDescent="0.25">
      <c r="A6">
        <v>2025</v>
      </c>
      <c r="B6" s="1" t="s">
        <v>19</v>
      </c>
      <c r="C6" t="s">
        <v>55</v>
      </c>
      <c r="D6" s="1" t="s">
        <v>410</v>
      </c>
      <c r="E6" t="s">
        <v>85</v>
      </c>
      <c r="F6" s="6">
        <v>213199</v>
      </c>
      <c r="G6" s="6">
        <v>165005</v>
      </c>
      <c r="H6" s="6">
        <v>35970</v>
      </c>
      <c r="I6" s="6">
        <v>129035</v>
      </c>
      <c r="J6" s="6">
        <v>48194</v>
      </c>
      <c r="K6" s="6">
        <v>2108</v>
      </c>
      <c r="L6" s="6">
        <v>179337</v>
      </c>
      <c r="M6">
        <v>313</v>
      </c>
      <c r="N6">
        <v>92</v>
      </c>
      <c r="O6">
        <v>405</v>
      </c>
      <c r="P6" s="6">
        <v>21694</v>
      </c>
      <c r="Q6" s="6">
        <v>0</v>
      </c>
      <c r="R6" s="6">
        <v>14106</v>
      </c>
      <c r="S6" s="6">
        <v>15792</v>
      </c>
      <c r="T6" s="6">
        <v>231334</v>
      </c>
      <c r="U6" s="6">
        <v>151042</v>
      </c>
      <c r="V6" s="6">
        <v>80292</v>
      </c>
    </row>
    <row r="7" spans="1:22" x14ac:dyDescent="0.25">
      <c r="A7">
        <v>2025</v>
      </c>
      <c r="B7" s="1" t="s">
        <v>14</v>
      </c>
      <c r="C7" t="s">
        <v>50</v>
      </c>
      <c r="D7" s="1" t="s">
        <v>411</v>
      </c>
      <c r="E7" t="s">
        <v>86</v>
      </c>
      <c r="F7" s="6">
        <v>76110</v>
      </c>
      <c r="G7" s="6">
        <v>58342</v>
      </c>
      <c r="H7" s="6">
        <v>12718</v>
      </c>
      <c r="I7" s="6">
        <v>45624</v>
      </c>
      <c r="J7" s="6">
        <v>17768</v>
      </c>
      <c r="K7" s="6">
        <v>4976</v>
      </c>
      <c r="L7" s="6">
        <v>68368</v>
      </c>
      <c r="M7">
        <v>0</v>
      </c>
      <c r="N7">
        <v>0</v>
      </c>
      <c r="O7">
        <v>0</v>
      </c>
      <c r="P7" s="6">
        <v>8590</v>
      </c>
      <c r="Q7" s="6">
        <v>0</v>
      </c>
      <c r="R7" s="6">
        <v>5279</v>
      </c>
      <c r="S7" s="6">
        <v>5912</v>
      </c>
      <c r="T7" s="6">
        <v>88149</v>
      </c>
      <c r="U7" s="6">
        <v>54214</v>
      </c>
      <c r="V7" s="6">
        <v>33935</v>
      </c>
    </row>
    <row r="8" spans="1:22" x14ac:dyDescent="0.25">
      <c r="A8">
        <v>2025</v>
      </c>
      <c r="B8" s="1" t="s">
        <v>21</v>
      </c>
      <c r="C8" t="s">
        <v>57</v>
      </c>
      <c r="D8" s="1" t="s">
        <v>412</v>
      </c>
      <c r="E8" t="s">
        <v>87</v>
      </c>
      <c r="F8" s="6">
        <v>411790</v>
      </c>
      <c r="G8" s="6">
        <v>327356</v>
      </c>
      <c r="H8" s="6">
        <v>71361</v>
      </c>
      <c r="I8" s="6">
        <v>255995</v>
      </c>
      <c r="J8" s="6">
        <v>84434</v>
      </c>
      <c r="K8">
        <v>0</v>
      </c>
      <c r="L8" s="6">
        <v>340429</v>
      </c>
      <c r="M8">
        <v>759</v>
      </c>
      <c r="N8">
        <v>195</v>
      </c>
      <c r="O8">
        <v>954</v>
      </c>
      <c r="P8" s="6">
        <v>41417</v>
      </c>
      <c r="Q8" s="6">
        <v>0</v>
      </c>
      <c r="R8" s="6">
        <v>27667</v>
      </c>
      <c r="S8" s="6">
        <v>30417</v>
      </c>
      <c r="T8" s="6">
        <v>440884</v>
      </c>
      <c r="U8" s="6">
        <v>298171</v>
      </c>
      <c r="V8" s="6">
        <v>142713</v>
      </c>
    </row>
    <row r="9" spans="1:22" x14ac:dyDescent="0.25">
      <c r="A9">
        <v>2025</v>
      </c>
      <c r="B9" s="1" t="s">
        <v>17</v>
      </c>
      <c r="C9" t="s">
        <v>53</v>
      </c>
      <c r="D9" s="1" t="s">
        <v>413</v>
      </c>
      <c r="E9" t="s">
        <v>88</v>
      </c>
      <c r="F9" s="6">
        <v>198102</v>
      </c>
      <c r="G9" s="6">
        <v>156708</v>
      </c>
      <c r="H9" s="6">
        <v>34161</v>
      </c>
      <c r="I9" s="6">
        <v>122547</v>
      </c>
      <c r="J9" s="6">
        <v>41394</v>
      </c>
      <c r="K9">
        <v>0</v>
      </c>
      <c r="L9" s="6">
        <v>163941</v>
      </c>
      <c r="M9">
        <v>178</v>
      </c>
      <c r="N9">
        <v>47</v>
      </c>
      <c r="O9">
        <v>225</v>
      </c>
      <c r="P9" s="6">
        <v>18793</v>
      </c>
      <c r="Q9" s="6">
        <v>0</v>
      </c>
      <c r="R9" s="6">
        <v>14500</v>
      </c>
      <c r="S9" s="6">
        <v>15943</v>
      </c>
      <c r="T9" s="6">
        <v>213402</v>
      </c>
      <c r="U9" s="6">
        <v>141518</v>
      </c>
      <c r="V9" s="6">
        <v>71884</v>
      </c>
    </row>
    <row r="10" spans="1:22" x14ac:dyDescent="0.25">
      <c r="A10">
        <v>2025</v>
      </c>
      <c r="B10" s="1" t="s">
        <v>15</v>
      </c>
      <c r="C10" t="s">
        <v>51</v>
      </c>
      <c r="D10" s="1" t="s">
        <v>414</v>
      </c>
      <c r="E10" t="s">
        <v>89</v>
      </c>
      <c r="F10" s="6">
        <v>99661</v>
      </c>
      <c r="G10" s="6">
        <v>77860</v>
      </c>
      <c r="H10" s="6">
        <v>16973</v>
      </c>
      <c r="I10" s="6">
        <v>60887</v>
      </c>
      <c r="J10" s="6">
        <v>21801</v>
      </c>
      <c r="K10" s="6">
        <v>294</v>
      </c>
      <c r="L10" s="6">
        <v>82982</v>
      </c>
      <c r="M10">
        <v>97</v>
      </c>
      <c r="N10">
        <v>27</v>
      </c>
      <c r="O10">
        <v>124</v>
      </c>
      <c r="P10" s="6">
        <v>12273</v>
      </c>
      <c r="Q10" s="6">
        <v>0</v>
      </c>
      <c r="R10" s="6">
        <v>6837</v>
      </c>
      <c r="S10" s="6">
        <v>7622</v>
      </c>
      <c r="T10" s="6">
        <v>109838</v>
      </c>
      <c r="U10" s="6">
        <v>73257</v>
      </c>
      <c r="V10" s="6">
        <v>36581</v>
      </c>
    </row>
    <row r="11" spans="1:22" x14ac:dyDescent="0.25">
      <c r="A11">
        <v>2025</v>
      </c>
      <c r="B11" s="1" t="s">
        <v>14</v>
      </c>
      <c r="C11" t="s">
        <v>50</v>
      </c>
      <c r="D11" s="1" t="s">
        <v>415</v>
      </c>
      <c r="E11" t="s">
        <v>90</v>
      </c>
      <c r="F11" s="6">
        <v>561895</v>
      </c>
      <c r="G11" s="6">
        <v>430718</v>
      </c>
      <c r="H11" s="6">
        <v>93892</v>
      </c>
      <c r="I11" s="6">
        <v>336826</v>
      </c>
      <c r="J11" s="6">
        <v>131177</v>
      </c>
      <c r="K11" s="6">
        <v>14224</v>
      </c>
      <c r="L11" s="6">
        <v>482227</v>
      </c>
      <c r="M11">
        <v>0</v>
      </c>
      <c r="N11">
        <v>0</v>
      </c>
      <c r="O11">
        <v>0</v>
      </c>
      <c r="P11" s="6">
        <v>61031</v>
      </c>
      <c r="Q11" s="6">
        <v>0</v>
      </c>
      <c r="R11" s="6">
        <v>43798</v>
      </c>
      <c r="S11" s="6">
        <v>49048</v>
      </c>
      <c r="T11" s="6">
        <v>636104</v>
      </c>
      <c r="U11" s="6">
        <v>397857</v>
      </c>
      <c r="V11" s="6">
        <v>238247</v>
      </c>
    </row>
    <row r="12" spans="1:22" x14ac:dyDescent="0.25">
      <c r="A12">
        <v>2025</v>
      </c>
      <c r="B12" s="1" t="s">
        <v>13</v>
      </c>
      <c r="C12" t="s">
        <v>49</v>
      </c>
      <c r="D12" s="1" t="s">
        <v>416</v>
      </c>
      <c r="E12" t="s">
        <v>91</v>
      </c>
      <c r="F12" s="6">
        <v>451115</v>
      </c>
      <c r="G12" s="6">
        <v>341677</v>
      </c>
      <c r="H12" s="6">
        <v>74482</v>
      </c>
      <c r="I12" s="6">
        <v>267195</v>
      </c>
      <c r="J12" s="6">
        <v>109438</v>
      </c>
      <c r="K12">
        <v>0</v>
      </c>
      <c r="L12" s="6">
        <v>376633</v>
      </c>
      <c r="M12">
        <v>894</v>
      </c>
      <c r="N12">
        <v>286</v>
      </c>
      <c r="O12" s="6">
        <v>1180</v>
      </c>
      <c r="P12" s="6">
        <v>44709</v>
      </c>
      <c r="Q12" s="6">
        <v>0</v>
      </c>
      <c r="R12" s="6">
        <v>32174</v>
      </c>
      <c r="S12" s="6">
        <v>35840</v>
      </c>
      <c r="T12" s="6">
        <v>490536</v>
      </c>
      <c r="U12" s="6">
        <v>312798</v>
      </c>
      <c r="V12" s="6">
        <v>177738</v>
      </c>
    </row>
    <row r="13" spans="1:22" x14ac:dyDescent="0.25">
      <c r="A13">
        <v>2025</v>
      </c>
      <c r="B13" s="1" t="s">
        <v>14</v>
      </c>
      <c r="C13" t="s">
        <v>50</v>
      </c>
      <c r="D13" s="1" t="s">
        <v>417</v>
      </c>
      <c r="E13" t="s">
        <v>92</v>
      </c>
      <c r="F13" s="6">
        <v>321184</v>
      </c>
      <c r="G13" s="6">
        <v>246202</v>
      </c>
      <c r="H13" s="6">
        <v>53670</v>
      </c>
      <c r="I13" s="6">
        <v>192532</v>
      </c>
      <c r="J13" s="6">
        <v>74982</v>
      </c>
      <c r="K13" s="6">
        <v>6904</v>
      </c>
      <c r="L13" s="6">
        <v>274418</v>
      </c>
      <c r="M13">
        <v>0</v>
      </c>
      <c r="N13">
        <v>0</v>
      </c>
      <c r="O13">
        <v>0</v>
      </c>
      <c r="P13" s="6">
        <v>34756</v>
      </c>
      <c r="Q13" s="6">
        <v>0</v>
      </c>
      <c r="R13" s="6">
        <v>21886</v>
      </c>
      <c r="S13" s="6">
        <v>24510</v>
      </c>
      <c r="T13" s="6">
        <v>355570</v>
      </c>
      <c r="U13" s="6">
        <v>227288</v>
      </c>
      <c r="V13" s="6">
        <v>128282</v>
      </c>
    </row>
    <row r="14" spans="1:22" x14ac:dyDescent="0.25">
      <c r="A14">
        <v>2025</v>
      </c>
      <c r="B14" s="1" t="s">
        <v>18</v>
      </c>
      <c r="C14" t="s">
        <v>54</v>
      </c>
      <c r="D14" s="1" t="s">
        <v>418</v>
      </c>
      <c r="E14" t="s">
        <v>93</v>
      </c>
      <c r="F14" s="6">
        <v>1741480</v>
      </c>
      <c r="G14" s="6">
        <v>1406857</v>
      </c>
      <c r="H14" s="6">
        <v>306680</v>
      </c>
      <c r="I14" s="6">
        <v>1100177</v>
      </c>
      <c r="J14" s="6">
        <v>334623</v>
      </c>
      <c r="K14">
        <v>0</v>
      </c>
      <c r="L14" s="6">
        <v>1434800</v>
      </c>
      <c r="M14">
        <v>0</v>
      </c>
      <c r="N14">
        <v>0</v>
      </c>
      <c r="O14">
        <v>0</v>
      </c>
      <c r="P14" s="6">
        <v>149075</v>
      </c>
      <c r="Q14" s="6">
        <v>0</v>
      </c>
      <c r="R14" s="6">
        <v>119270</v>
      </c>
      <c r="S14" s="6">
        <v>131048</v>
      </c>
      <c r="T14" s="6">
        <v>1834193</v>
      </c>
      <c r="U14" s="6">
        <v>1249252</v>
      </c>
      <c r="V14" s="6">
        <v>584941</v>
      </c>
    </row>
    <row r="15" spans="1:22" x14ac:dyDescent="0.25">
      <c r="A15">
        <v>2025</v>
      </c>
      <c r="B15" s="1" t="s">
        <v>17</v>
      </c>
      <c r="C15" t="s">
        <v>53</v>
      </c>
      <c r="D15" s="1" t="s">
        <v>419</v>
      </c>
      <c r="E15" t="s">
        <v>94</v>
      </c>
      <c r="F15" s="6">
        <v>474124</v>
      </c>
      <c r="G15" s="6">
        <v>375054</v>
      </c>
      <c r="H15" s="6">
        <v>81757</v>
      </c>
      <c r="I15" s="6">
        <v>293297</v>
      </c>
      <c r="J15" s="6">
        <v>99070</v>
      </c>
      <c r="K15">
        <v>0</v>
      </c>
      <c r="L15" s="6">
        <v>392367</v>
      </c>
      <c r="M15">
        <v>424</v>
      </c>
      <c r="N15">
        <v>112</v>
      </c>
      <c r="O15">
        <v>536</v>
      </c>
      <c r="P15" s="6">
        <v>44979</v>
      </c>
      <c r="Q15" s="6">
        <v>0</v>
      </c>
      <c r="R15" s="6">
        <v>33588</v>
      </c>
      <c r="S15" s="6">
        <v>36930</v>
      </c>
      <c r="T15" s="6">
        <v>508400</v>
      </c>
      <c r="U15" s="6">
        <v>338700</v>
      </c>
      <c r="V15" s="6">
        <v>169700</v>
      </c>
    </row>
    <row r="16" spans="1:22" x14ac:dyDescent="0.25">
      <c r="A16">
        <v>2025</v>
      </c>
      <c r="B16" s="1" t="s">
        <v>16</v>
      </c>
      <c r="C16" t="s">
        <v>52</v>
      </c>
      <c r="D16" s="1" t="s">
        <v>420</v>
      </c>
      <c r="E16" t="s">
        <v>95</v>
      </c>
      <c r="F16" s="6">
        <v>83809</v>
      </c>
      <c r="G16" s="6">
        <v>65926</v>
      </c>
      <c r="H16" s="6">
        <v>14371</v>
      </c>
      <c r="I16" s="6">
        <v>51555</v>
      </c>
      <c r="J16" s="6">
        <v>17883</v>
      </c>
      <c r="K16" s="6">
        <v>9522</v>
      </c>
      <c r="L16" s="6">
        <v>78960</v>
      </c>
      <c r="M16">
        <v>113</v>
      </c>
      <c r="N16">
        <v>31</v>
      </c>
      <c r="O16">
        <v>144</v>
      </c>
      <c r="P16" s="6">
        <v>7973</v>
      </c>
      <c r="Q16">
        <v>0</v>
      </c>
      <c r="R16" s="6">
        <v>6378</v>
      </c>
      <c r="S16" s="6">
        <v>6973</v>
      </c>
      <c r="T16" s="6">
        <v>100428</v>
      </c>
      <c r="U16" s="6">
        <v>59641</v>
      </c>
      <c r="V16" s="6">
        <v>40787</v>
      </c>
    </row>
    <row r="17" spans="1:22" x14ac:dyDescent="0.25">
      <c r="A17">
        <v>2025</v>
      </c>
      <c r="B17" s="1" t="s">
        <v>18</v>
      </c>
      <c r="C17" t="s">
        <v>54</v>
      </c>
      <c r="D17" s="1" t="s">
        <v>421</v>
      </c>
      <c r="E17" t="s">
        <v>96</v>
      </c>
      <c r="F17" s="6">
        <v>4694655</v>
      </c>
      <c r="G17" s="6">
        <v>3792582</v>
      </c>
      <c r="H17" s="6">
        <v>826744</v>
      </c>
      <c r="I17" s="6">
        <v>2965838</v>
      </c>
      <c r="J17" s="6">
        <v>902073</v>
      </c>
      <c r="K17">
        <v>0</v>
      </c>
      <c r="L17" s="6">
        <v>3867911</v>
      </c>
      <c r="M17">
        <v>0</v>
      </c>
      <c r="N17">
        <v>0</v>
      </c>
      <c r="O17">
        <v>0</v>
      </c>
      <c r="P17" s="6">
        <v>401873</v>
      </c>
      <c r="Q17" s="6">
        <v>0</v>
      </c>
      <c r="R17" s="6">
        <v>348880</v>
      </c>
      <c r="S17" s="6">
        <v>383335</v>
      </c>
      <c r="T17" s="6">
        <v>5001999</v>
      </c>
      <c r="U17" s="6">
        <v>3367711</v>
      </c>
      <c r="V17" s="6">
        <v>1634288</v>
      </c>
    </row>
    <row r="18" spans="1:22" x14ac:dyDescent="0.25">
      <c r="A18">
        <v>2025</v>
      </c>
      <c r="B18" s="1" t="s">
        <v>15</v>
      </c>
      <c r="C18" t="s">
        <v>51</v>
      </c>
      <c r="D18" s="1" t="s">
        <v>422</v>
      </c>
      <c r="E18" t="s">
        <v>97</v>
      </c>
      <c r="F18" s="6">
        <v>315429</v>
      </c>
      <c r="G18" s="6">
        <v>246429</v>
      </c>
      <c r="H18" s="6">
        <v>53719</v>
      </c>
      <c r="I18" s="6">
        <v>192710</v>
      </c>
      <c r="J18" s="6">
        <v>69000</v>
      </c>
      <c r="K18">
        <v>0</v>
      </c>
      <c r="L18" s="6">
        <v>261710</v>
      </c>
      <c r="M18">
        <v>305</v>
      </c>
      <c r="N18">
        <v>86</v>
      </c>
      <c r="O18">
        <v>391</v>
      </c>
      <c r="P18" s="6">
        <v>38845</v>
      </c>
      <c r="Q18" s="6">
        <v>0</v>
      </c>
      <c r="R18" s="6">
        <v>20819</v>
      </c>
      <c r="S18" s="6">
        <v>23210</v>
      </c>
      <c r="T18" s="6">
        <v>344975</v>
      </c>
      <c r="U18" s="6">
        <v>231860</v>
      </c>
      <c r="V18" s="6">
        <v>113115</v>
      </c>
    </row>
    <row r="19" spans="1:22" x14ac:dyDescent="0.25">
      <c r="A19">
        <v>2025</v>
      </c>
      <c r="B19" s="1" t="s">
        <v>19</v>
      </c>
      <c r="C19" t="s">
        <v>55</v>
      </c>
      <c r="D19" s="1" t="s">
        <v>423</v>
      </c>
      <c r="E19" t="s">
        <v>98</v>
      </c>
      <c r="F19" s="6">
        <v>116715</v>
      </c>
      <c r="G19" s="6">
        <v>90331</v>
      </c>
      <c r="H19" s="6">
        <v>19691</v>
      </c>
      <c r="I19" s="6">
        <v>70640</v>
      </c>
      <c r="J19" s="6">
        <v>26384</v>
      </c>
      <c r="K19">
        <v>0</v>
      </c>
      <c r="L19" s="6">
        <v>97024</v>
      </c>
      <c r="M19">
        <v>173</v>
      </c>
      <c r="N19">
        <v>50</v>
      </c>
      <c r="O19">
        <v>223</v>
      </c>
      <c r="P19" s="6">
        <v>11766</v>
      </c>
      <c r="Q19" s="6">
        <v>0</v>
      </c>
      <c r="R19" s="6">
        <v>9114</v>
      </c>
      <c r="S19" s="6">
        <v>10203</v>
      </c>
      <c r="T19" s="6">
        <v>128330</v>
      </c>
      <c r="U19" s="6">
        <v>82579</v>
      </c>
      <c r="V19" s="6">
        <v>45751</v>
      </c>
    </row>
    <row r="20" spans="1:22" x14ac:dyDescent="0.25">
      <c r="A20">
        <v>2025</v>
      </c>
      <c r="B20" s="1" t="s">
        <v>20</v>
      </c>
      <c r="C20" t="s">
        <v>56</v>
      </c>
      <c r="D20" s="1" t="s">
        <v>424</v>
      </c>
      <c r="E20" t="s">
        <v>99</v>
      </c>
      <c r="F20" s="6">
        <v>568476</v>
      </c>
      <c r="G20" s="6">
        <v>448430</v>
      </c>
      <c r="H20" s="6">
        <v>97753</v>
      </c>
      <c r="I20" s="6">
        <v>350677</v>
      </c>
      <c r="J20" s="6">
        <v>120046</v>
      </c>
      <c r="K20">
        <v>0</v>
      </c>
      <c r="L20" s="6">
        <v>470723</v>
      </c>
      <c r="M20">
        <v>923</v>
      </c>
      <c r="N20">
        <v>248</v>
      </c>
      <c r="O20" s="6">
        <v>1171</v>
      </c>
      <c r="P20" s="6">
        <v>58379</v>
      </c>
      <c r="Q20" s="6">
        <v>0</v>
      </c>
      <c r="R20" s="6">
        <v>36066</v>
      </c>
      <c r="S20" s="6">
        <v>39875</v>
      </c>
      <c r="T20" s="6">
        <v>606214</v>
      </c>
      <c r="U20" s="6">
        <v>409979</v>
      </c>
      <c r="V20" s="6">
        <v>196235</v>
      </c>
    </row>
    <row r="21" spans="1:22" x14ac:dyDescent="0.25">
      <c r="A21">
        <v>2025</v>
      </c>
      <c r="B21" s="1" t="s">
        <v>18</v>
      </c>
      <c r="C21" t="s">
        <v>54</v>
      </c>
      <c r="D21" s="1" t="s">
        <v>425</v>
      </c>
      <c r="E21" t="s">
        <v>100</v>
      </c>
      <c r="F21" s="6">
        <v>193086</v>
      </c>
      <c r="G21" s="6">
        <v>155984</v>
      </c>
      <c r="H21" s="6">
        <v>34003</v>
      </c>
      <c r="I21" s="6">
        <v>121981</v>
      </c>
      <c r="J21" s="6">
        <v>37102</v>
      </c>
      <c r="K21">
        <v>0</v>
      </c>
      <c r="L21" s="6">
        <v>159083</v>
      </c>
      <c r="M21">
        <v>0</v>
      </c>
      <c r="N21">
        <v>0</v>
      </c>
      <c r="O21">
        <v>0</v>
      </c>
      <c r="P21" s="6">
        <v>16529</v>
      </c>
      <c r="Q21" s="6">
        <v>0</v>
      </c>
      <c r="R21" s="6">
        <v>13252</v>
      </c>
      <c r="S21" s="6">
        <v>14561</v>
      </c>
      <c r="T21" s="6">
        <v>203425</v>
      </c>
      <c r="U21" s="6">
        <v>138510</v>
      </c>
      <c r="V21" s="6">
        <v>64915</v>
      </c>
    </row>
    <row r="22" spans="1:22" x14ac:dyDescent="0.25">
      <c r="A22">
        <v>2025</v>
      </c>
      <c r="B22" s="1" t="s">
        <v>18</v>
      </c>
      <c r="C22" t="s">
        <v>54</v>
      </c>
      <c r="D22" s="1" t="s">
        <v>426</v>
      </c>
      <c r="E22" t="s">
        <v>101</v>
      </c>
      <c r="F22" s="6">
        <v>638293</v>
      </c>
      <c r="G22" s="6">
        <v>515646</v>
      </c>
      <c r="H22" s="6">
        <v>112406</v>
      </c>
      <c r="I22" s="6">
        <v>403240</v>
      </c>
      <c r="J22" s="6">
        <v>122647</v>
      </c>
      <c r="K22">
        <v>0</v>
      </c>
      <c r="L22" s="6">
        <v>525887</v>
      </c>
      <c r="M22">
        <v>0</v>
      </c>
      <c r="N22">
        <v>0</v>
      </c>
      <c r="O22">
        <v>0</v>
      </c>
      <c r="P22" s="6">
        <v>54639</v>
      </c>
      <c r="Q22" s="6">
        <v>0</v>
      </c>
      <c r="R22" s="6">
        <v>44894</v>
      </c>
      <c r="S22" s="6">
        <v>49328</v>
      </c>
      <c r="T22" s="6">
        <v>674748</v>
      </c>
      <c r="U22" s="6">
        <v>457879</v>
      </c>
      <c r="V22" s="6">
        <v>216869</v>
      </c>
    </row>
    <row r="23" spans="1:22" x14ac:dyDescent="0.25">
      <c r="A23">
        <v>2025</v>
      </c>
      <c r="B23" s="1" t="s">
        <v>18</v>
      </c>
      <c r="C23" t="s">
        <v>54</v>
      </c>
      <c r="D23" s="1" t="s">
        <v>427</v>
      </c>
      <c r="E23" t="s">
        <v>102</v>
      </c>
      <c r="F23" s="6">
        <v>123722</v>
      </c>
      <c r="G23" s="6">
        <v>99949</v>
      </c>
      <c r="H23" s="6">
        <v>21788</v>
      </c>
      <c r="I23" s="6">
        <v>78161</v>
      </c>
      <c r="J23" s="6">
        <v>23773</v>
      </c>
      <c r="K23" s="6">
        <v>5750</v>
      </c>
      <c r="L23" s="6">
        <v>107684</v>
      </c>
      <c r="M23">
        <v>0</v>
      </c>
      <c r="N23">
        <v>0</v>
      </c>
      <c r="O23">
        <v>0</v>
      </c>
      <c r="P23" s="6">
        <v>11025</v>
      </c>
      <c r="Q23" s="6">
        <v>0</v>
      </c>
      <c r="R23" s="6">
        <v>8724</v>
      </c>
      <c r="S23" s="6">
        <v>9586</v>
      </c>
      <c r="T23" s="6">
        <v>137019</v>
      </c>
      <c r="U23" s="6">
        <v>89186</v>
      </c>
      <c r="V23" s="6">
        <v>47833</v>
      </c>
    </row>
    <row r="24" spans="1:22" x14ac:dyDescent="0.25">
      <c r="A24">
        <v>2025</v>
      </c>
      <c r="B24" s="1" t="s">
        <v>15</v>
      </c>
      <c r="C24" t="s">
        <v>51</v>
      </c>
      <c r="D24" s="1" t="s">
        <v>428</v>
      </c>
      <c r="E24" t="s">
        <v>103</v>
      </c>
      <c r="F24" s="6">
        <v>177421</v>
      </c>
      <c r="G24" s="6">
        <v>138610</v>
      </c>
      <c r="H24" s="6">
        <v>30216</v>
      </c>
      <c r="I24" s="6">
        <v>108394</v>
      </c>
      <c r="J24" s="6">
        <v>38811</v>
      </c>
      <c r="K24" s="6">
        <v>9091</v>
      </c>
      <c r="L24" s="6">
        <v>156296</v>
      </c>
      <c r="M24">
        <v>170</v>
      </c>
      <c r="N24">
        <v>48</v>
      </c>
      <c r="O24">
        <v>218</v>
      </c>
      <c r="P24" s="6">
        <v>22036</v>
      </c>
      <c r="Q24" s="6">
        <v>0</v>
      </c>
      <c r="R24" s="6">
        <v>11549</v>
      </c>
      <c r="S24" s="6">
        <v>12875</v>
      </c>
      <c r="T24" s="6">
        <v>202974</v>
      </c>
      <c r="U24" s="6">
        <v>130600</v>
      </c>
      <c r="V24" s="6">
        <v>72374</v>
      </c>
    </row>
    <row r="25" spans="1:22" x14ac:dyDescent="0.25">
      <c r="A25">
        <v>2025</v>
      </c>
      <c r="B25" s="1" t="s">
        <v>20</v>
      </c>
      <c r="C25" t="s">
        <v>56</v>
      </c>
      <c r="D25" s="1" t="s">
        <v>429</v>
      </c>
      <c r="E25" t="s">
        <v>104</v>
      </c>
      <c r="F25" s="6">
        <v>196835</v>
      </c>
      <c r="G25" s="6">
        <v>155269</v>
      </c>
      <c r="H25" s="6">
        <v>33847</v>
      </c>
      <c r="I25" s="6">
        <v>121422</v>
      </c>
      <c r="J25" s="6">
        <v>41566</v>
      </c>
      <c r="K25">
        <v>0</v>
      </c>
      <c r="L25" s="6">
        <v>162988</v>
      </c>
      <c r="M25">
        <v>319</v>
      </c>
      <c r="N25">
        <v>85</v>
      </c>
      <c r="O25">
        <v>404</v>
      </c>
      <c r="P25" s="6">
        <v>20214</v>
      </c>
      <c r="Q25" s="6">
        <v>0</v>
      </c>
      <c r="R25" s="6">
        <v>13177</v>
      </c>
      <c r="S25" s="6">
        <v>14569</v>
      </c>
      <c r="T25" s="6">
        <v>211352</v>
      </c>
      <c r="U25" s="6">
        <v>141955</v>
      </c>
      <c r="V25" s="6">
        <v>69397</v>
      </c>
    </row>
    <row r="26" spans="1:22" x14ac:dyDescent="0.25">
      <c r="A26">
        <v>2025</v>
      </c>
      <c r="B26" s="1" t="s">
        <v>17</v>
      </c>
      <c r="C26" t="s">
        <v>53</v>
      </c>
      <c r="D26" s="1" t="s">
        <v>430</v>
      </c>
      <c r="E26" t="s">
        <v>105</v>
      </c>
      <c r="F26" s="6">
        <v>179196</v>
      </c>
      <c r="G26" s="6">
        <v>141753</v>
      </c>
      <c r="H26" s="6">
        <v>30901</v>
      </c>
      <c r="I26" s="6">
        <v>110852</v>
      </c>
      <c r="J26" s="6">
        <v>37443</v>
      </c>
      <c r="K26" s="6">
        <v>0</v>
      </c>
      <c r="L26" s="6">
        <v>148295</v>
      </c>
      <c r="M26">
        <v>159</v>
      </c>
      <c r="N26">
        <v>42</v>
      </c>
      <c r="O26">
        <v>201</v>
      </c>
      <c r="P26" s="6">
        <v>17000</v>
      </c>
      <c r="Q26" s="6">
        <v>0</v>
      </c>
      <c r="R26" s="6">
        <v>12258</v>
      </c>
      <c r="S26" s="6">
        <v>13478</v>
      </c>
      <c r="T26" s="6">
        <v>191232</v>
      </c>
      <c r="U26" s="6">
        <v>128011</v>
      </c>
      <c r="V26" s="6">
        <v>63221</v>
      </c>
    </row>
    <row r="27" spans="1:22" x14ac:dyDescent="0.25">
      <c r="A27">
        <v>2025</v>
      </c>
      <c r="B27" s="1" t="s">
        <v>16</v>
      </c>
      <c r="C27" t="s">
        <v>52</v>
      </c>
      <c r="D27" s="1" t="s">
        <v>431</v>
      </c>
      <c r="E27" t="s">
        <v>106</v>
      </c>
      <c r="F27" s="6">
        <v>230228</v>
      </c>
      <c r="G27" s="6">
        <v>181103</v>
      </c>
      <c r="H27" s="6">
        <v>39478</v>
      </c>
      <c r="I27" s="6">
        <v>141625</v>
      </c>
      <c r="J27" s="6">
        <v>49125</v>
      </c>
      <c r="K27">
        <v>0</v>
      </c>
      <c r="L27" s="6">
        <v>190750</v>
      </c>
      <c r="M27">
        <v>311</v>
      </c>
      <c r="N27">
        <v>84</v>
      </c>
      <c r="O27">
        <v>395</v>
      </c>
      <c r="P27" s="6">
        <v>21216</v>
      </c>
      <c r="Q27" s="6">
        <v>0</v>
      </c>
      <c r="R27" s="6">
        <v>20228</v>
      </c>
      <c r="S27" s="6">
        <v>22113</v>
      </c>
      <c r="T27" s="6">
        <v>254702</v>
      </c>
      <c r="U27" s="6">
        <v>163151</v>
      </c>
      <c r="V27" s="6">
        <v>91551</v>
      </c>
    </row>
    <row r="28" spans="1:22" x14ac:dyDescent="0.25">
      <c r="A28">
        <v>2025</v>
      </c>
      <c r="B28" s="1" t="s">
        <v>15</v>
      </c>
      <c r="C28" t="s">
        <v>51</v>
      </c>
      <c r="D28" s="1" t="s">
        <v>432</v>
      </c>
      <c r="E28" t="s">
        <v>107</v>
      </c>
      <c r="F28" s="6">
        <v>289198</v>
      </c>
      <c r="G28" s="6">
        <v>225936</v>
      </c>
      <c r="H28" s="6">
        <v>49252</v>
      </c>
      <c r="I28" s="6">
        <v>176684</v>
      </c>
      <c r="J28" s="6">
        <v>63262</v>
      </c>
      <c r="K28">
        <v>0</v>
      </c>
      <c r="L28" s="6">
        <v>239946</v>
      </c>
      <c r="M28">
        <v>278</v>
      </c>
      <c r="N28">
        <v>78</v>
      </c>
      <c r="O28">
        <v>356</v>
      </c>
      <c r="P28" s="6">
        <v>35614</v>
      </c>
      <c r="Q28" s="6">
        <v>0</v>
      </c>
      <c r="R28" s="6">
        <v>19129</v>
      </c>
      <c r="S28" s="6">
        <v>21325</v>
      </c>
      <c r="T28" s="6">
        <v>316370</v>
      </c>
      <c r="U28" s="6">
        <v>212576</v>
      </c>
      <c r="V28" s="6">
        <v>103794</v>
      </c>
    </row>
    <row r="29" spans="1:22" x14ac:dyDescent="0.25">
      <c r="A29">
        <v>2025</v>
      </c>
      <c r="B29" s="1" t="s">
        <v>16</v>
      </c>
      <c r="C29" t="s">
        <v>52</v>
      </c>
      <c r="D29" s="1" t="s">
        <v>433</v>
      </c>
      <c r="E29" t="s">
        <v>108</v>
      </c>
      <c r="F29" s="6">
        <v>60352</v>
      </c>
      <c r="G29" s="6">
        <v>47474</v>
      </c>
      <c r="H29" s="6">
        <v>10348</v>
      </c>
      <c r="I29" s="6">
        <v>37126</v>
      </c>
      <c r="J29" s="6">
        <v>12878</v>
      </c>
      <c r="K29" s="6">
        <v>12435</v>
      </c>
      <c r="L29" s="6">
        <v>62439</v>
      </c>
      <c r="M29">
        <v>84</v>
      </c>
      <c r="N29">
        <v>22</v>
      </c>
      <c r="O29">
        <v>106</v>
      </c>
      <c r="P29" s="6">
        <v>6087</v>
      </c>
      <c r="Q29">
        <v>0</v>
      </c>
      <c r="R29" s="6">
        <v>4066</v>
      </c>
      <c r="S29" s="6">
        <v>4445</v>
      </c>
      <c r="T29" s="6">
        <v>77143</v>
      </c>
      <c r="U29" s="6">
        <v>43297</v>
      </c>
      <c r="V29" s="6">
        <v>33846</v>
      </c>
    </row>
    <row r="30" spans="1:22" x14ac:dyDescent="0.25">
      <c r="A30">
        <v>2025</v>
      </c>
      <c r="B30" s="1" t="s">
        <v>17</v>
      </c>
      <c r="C30" t="s">
        <v>53</v>
      </c>
      <c r="D30" s="1" t="s">
        <v>434</v>
      </c>
      <c r="E30" t="s">
        <v>109</v>
      </c>
      <c r="F30" s="6">
        <v>551686</v>
      </c>
      <c r="G30" s="6">
        <v>436409</v>
      </c>
      <c r="H30" s="6">
        <v>95133</v>
      </c>
      <c r="I30" s="6">
        <v>341276</v>
      </c>
      <c r="J30" s="6">
        <v>115277</v>
      </c>
      <c r="K30" s="6">
        <v>10607</v>
      </c>
      <c r="L30" s="6">
        <v>467160</v>
      </c>
      <c r="M30">
        <v>494</v>
      </c>
      <c r="N30">
        <v>131</v>
      </c>
      <c r="O30">
        <v>625</v>
      </c>
      <c r="P30" s="6">
        <v>53227</v>
      </c>
      <c r="Q30" s="6">
        <v>0</v>
      </c>
      <c r="R30" s="6">
        <v>41080</v>
      </c>
      <c r="S30" s="6">
        <v>45168</v>
      </c>
      <c r="T30" s="6">
        <v>607260</v>
      </c>
      <c r="U30" s="6">
        <v>394997</v>
      </c>
      <c r="V30" s="6">
        <v>212263</v>
      </c>
    </row>
    <row r="31" spans="1:22" x14ac:dyDescent="0.25">
      <c r="A31">
        <v>2025</v>
      </c>
      <c r="B31" s="1" t="s">
        <v>16</v>
      </c>
      <c r="C31" t="s">
        <v>52</v>
      </c>
      <c r="D31" s="1" t="s">
        <v>435</v>
      </c>
      <c r="E31" t="s">
        <v>110</v>
      </c>
      <c r="F31" s="6">
        <v>1531901</v>
      </c>
      <c r="G31" s="6">
        <v>1205026</v>
      </c>
      <c r="H31" s="6">
        <v>262684</v>
      </c>
      <c r="I31" s="6">
        <v>942342</v>
      </c>
      <c r="J31" s="6">
        <v>326875</v>
      </c>
      <c r="K31">
        <v>0</v>
      </c>
      <c r="L31" s="6">
        <v>1269217</v>
      </c>
      <c r="M31" s="6">
        <v>2066</v>
      </c>
      <c r="N31">
        <v>560</v>
      </c>
      <c r="O31" s="6">
        <v>2626</v>
      </c>
      <c r="P31" s="6">
        <v>141167</v>
      </c>
      <c r="Q31" s="6">
        <v>0</v>
      </c>
      <c r="R31" s="6">
        <v>109424</v>
      </c>
      <c r="S31" s="6">
        <v>119621</v>
      </c>
      <c r="T31" s="6">
        <v>1642055</v>
      </c>
      <c r="U31" s="6">
        <v>1085575</v>
      </c>
      <c r="V31" s="6">
        <v>556480</v>
      </c>
    </row>
    <row r="32" spans="1:22" x14ac:dyDescent="0.25">
      <c r="A32">
        <v>2025</v>
      </c>
      <c r="B32" s="1" t="s">
        <v>18</v>
      </c>
      <c r="C32" t="s">
        <v>54</v>
      </c>
      <c r="D32" s="1" t="s">
        <v>436</v>
      </c>
      <c r="E32" t="s">
        <v>111</v>
      </c>
      <c r="F32" s="6">
        <v>946414</v>
      </c>
      <c r="G32" s="6">
        <v>764562</v>
      </c>
      <c r="H32" s="6">
        <v>166667</v>
      </c>
      <c r="I32" s="6">
        <v>597895</v>
      </c>
      <c r="J32" s="6">
        <v>181852</v>
      </c>
      <c r="K32">
        <v>0</v>
      </c>
      <c r="L32" s="6">
        <v>779747</v>
      </c>
      <c r="M32">
        <v>0</v>
      </c>
      <c r="N32">
        <v>0</v>
      </c>
      <c r="O32">
        <v>0</v>
      </c>
      <c r="P32" s="6">
        <v>81015</v>
      </c>
      <c r="Q32" s="6">
        <v>0</v>
      </c>
      <c r="R32" s="6">
        <v>66719</v>
      </c>
      <c r="S32" s="6">
        <v>73308</v>
      </c>
      <c r="T32" s="6">
        <v>1000789</v>
      </c>
      <c r="U32" s="6">
        <v>678910</v>
      </c>
      <c r="V32" s="6">
        <v>321879</v>
      </c>
    </row>
    <row r="33" spans="1:22" x14ac:dyDescent="0.25">
      <c r="A33">
        <v>2025</v>
      </c>
      <c r="B33" s="1" t="s">
        <v>18</v>
      </c>
      <c r="C33" t="s">
        <v>54</v>
      </c>
      <c r="D33" s="1" t="s">
        <v>437</v>
      </c>
      <c r="E33" t="s">
        <v>112</v>
      </c>
      <c r="F33" s="6">
        <v>785260</v>
      </c>
      <c r="G33" s="6">
        <v>634373</v>
      </c>
      <c r="H33" s="6">
        <v>138287</v>
      </c>
      <c r="I33" s="6">
        <v>496086</v>
      </c>
      <c r="J33" s="6">
        <v>150887</v>
      </c>
      <c r="K33">
        <v>0</v>
      </c>
      <c r="L33" s="6">
        <v>646973</v>
      </c>
      <c r="M33">
        <v>0</v>
      </c>
      <c r="N33">
        <v>0</v>
      </c>
      <c r="O33">
        <v>0</v>
      </c>
      <c r="P33" s="6">
        <v>67220</v>
      </c>
      <c r="Q33" s="6">
        <v>0</v>
      </c>
      <c r="R33" s="6">
        <v>54942</v>
      </c>
      <c r="S33" s="6">
        <v>60368</v>
      </c>
      <c r="T33" s="6">
        <v>829503</v>
      </c>
      <c r="U33" s="6">
        <v>563306</v>
      </c>
      <c r="V33" s="6">
        <v>266197</v>
      </c>
    </row>
    <row r="34" spans="1:22" x14ac:dyDescent="0.25">
      <c r="A34">
        <v>2025</v>
      </c>
      <c r="B34" s="1" t="s">
        <v>19</v>
      </c>
      <c r="C34" t="s">
        <v>55</v>
      </c>
      <c r="D34" s="1" t="s">
        <v>438</v>
      </c>
      <c r="E34" t="s">
        <v>113</v>
      </c>
      <c r="F34" s="6">
        <v>222510</v>
      </c>
      <c r="G34" s="6">
        <v>172211</v>
      </c>
      <c r="H34" s="6">
        <v>37540</v>
      </c>
      <c r="I34" s="6">
        <v>134671</v>
      </c>
      <c r="J34" s="6">
        <v>50299</v>
      </c>
      <c r="K34">
        <v>37</v>
      </c>
      <c r="L34" s="6">
        <v>185007</v>
      </c>
      <c r="M34">
        <v>327</v>
      </c>
      <c r="N34">
        <v>95</v>
      </c>
      <c r="O34">
        <v>422</v>
      </c>
      <c r="P34" s="6">
        <v>22432</v>
      </c>
      <c r="Q34" s="6">
        <v>0</v>
      </c>
      <c r="R34" s="6">
        <v>24499</v>
      </c>
      <c r="S34" s="6">
        <v>27428</v>
      </c>
      <c r="T34" s="6">
        <v>259788</v>
      </c>
      <c r="U34" s="6">
        <v>157430</v>
      </c>
      <c r="V34" s="6">
        <v>102358</v>
      </c>
    </row>
    <row r="35" spans="1:22" x14ac:dyDescent="0.25">
      <c r="A35">
        <v>2025</v>
      </c>
      <c r="B35" s="1" t="s">
        <v>20</v>
      </c>
      <c r="C35" t="s">
        <v>56</v>
      </c>
      <c r="D35" s="1" t="s">
        <v>439</v>
      </c>
      <c r="E35" t="s">
        <v>114</v>
      </c>
      <c r="F35" s="6">
        <v>145154</v>
      </c>
      <c r="G35" s="6">
        <v>114502</v>
      </c>
      <c r="H35" s="6">
        <v>24960</v>
      </c>
      <c r="I35" s="6">
        <v>89542</v>
      </c>
      <c r="J35" s="6">
        <v>30652</v>
      </c>
      <c r="K35" s="6">
        <v>0</v>
      </c>
      <c r="L35" s="6">
        <v>120194</v>
      </c>
      <c r="M35">
        <v>235</v>
      </c>
      <c r="N35">
        <v>63</v>
      </c>
      <c r="O35">
        <v>298</v>
      </c>
      <c r="P35" s="6">
        <v>14906</v>
      </c>
      <c r="Q35" s="6">
        <v>0</v>
      </c>
      <c r="R35" s="6">
        <v>9915</v>
      </c>
      <c r="S35" s="6">
        <v>10962</v>
      </c>
      <c r="T35" s="6">
        <v>156275</v>
      </c>
      <c r="U35" s="6">
        <v>104683</v>
      </c>
      <c r="V35" s="6">
        <v>51592</v>
      </c>
    </row>
    <row r="36" spans="1:22" x14ac:dyDescent="0.25">
      <c r="A36">
        <v>2025</v>
      </c>
      <c r="B36" s="1" t="s">
        <v>15</v>
      </c>
      <c r="C36" t="s">
        <v>51</v>
      </c>
      <c r="D36" s="1" t="s">
        <v>440</v>
      </c>
      <c r="E36" t="s">
        <v>115</v>
      </c>
      <c r="F36" s="6">
        <v>201550</v>
      </c>
      <c r="G36" s="6">
        <v>157461</v>
      </c>
      <c r="H36" s="6">
        <v>34325</v>
      </c>
      <c r="I36" s="6">
        <v>123136</v>
      </c>
      <c r="J36" s="6">
        <v>44089</v>
      </c>
      <c r="K36">
        <v>0</v>
      </c>
      <c r="L36" s="6">
        <v>167225</v>
      </c>
      <c r="M36">
        <v>194</v>
      </c>
      <c r="N36">
        <v>55</v>
      </c>
      <c r="O36">
        <v>249</v>
      </c>
      <c r="P36" s="6">
        <v>24821</v>
      </c>
      <c r="Q36" s="6">
        <v>0</v>
      </c>
      <c r="R36" s="6">
        <v>13137</v>
      </c>
      <c r="S36" s="6">
        <v>14645</v>
      </c>
      <c r="T36" s="6">
        <v>220077</v>
      </c>
      <c r="U36" s="6">
        <v>148152</v>
      </c>
      <c r="V36" s="6">
        <v>71925</v>
      </c>
    </row>
    <row r="37" spans="1:22" x14ac:dyDescent="0.25">
      <c r="A37">
        <v>2025</v>
      </c>
      <c r="B37" s="1" t="s">
        <v>21</v>
      </c>
      <c r="C37" t="s">
        <v>57</v>
      </c>
      <c r="D37" s="1" t="s">
        <v>441</v>
      </c>
      <c r="E37" t="s">
        <v>116</v>
      </c>
      <c r="F37" s="6">
        <v>1538365</v>
      </c>
      <c r="G37" s="6">
        <v>1222938</v>
      </c>
      <c r="H37" s="6">
        <v>266588</v>
      </c>
      <c r="I37" s="6">
        <v>956350</v>
      </c>
      <c r="J37" s="6">
        <v>315427</v>
      </c>
      <c r="K37">
        <v>0</v>
      </c>
      <c r="L37" s="6">
        <v>1271777</v>
      </c>
      <c r="M37" s="6">
        <v>2830</v>
      </c>
      <c r="N37">
        <v>729</v>
      </c>
      <c r="O37" s="6">
        <v>3559</v>
      </c>
      <c r="P37" s="6">
        <v>154724</v>
      </c>
      <c r="Q37" s="6">
        <v>0</v>
      </c>
      <c r="R37" s="6">
        <v>104452</v>
      </c>
      <c r="S37" s="6">
        <v>114833</v>
      </c>
      <c r="T37" s="6">
        <v>1649345</v>
      </c>
      <c r="U37" s="6">
        <v>1113904</v>
      </c>
      <c r="V37" s="6">
        <v>535441</v>
      </c>
    </row>
    <row r="38" spans="1:22" x14ac:dyDescent="0.25">
      <c r="A38">
        <v>2025</v>
      </c>
      <c r="B38" s="1" t="s">
        <v>15</v>
      </c>
      <c r="C38" t="s">
        <v>51</v>
      </c>
      <c r="D38" s="1" t="s">
        <v>442</v>
      </c>
      <c r="E38" t="s">
        <v>117</v>
      </c>
      <c r="F38" s="6">
        <v>112894</v>
      </c>
      <c r="G38" s="6">
        <v>88198</v>
      </c>
      <c r="H38" s="6">
        <v>19227</v>
      </c>
      <c r="I38" s="6">
        <v>68971</v>
      </c>
      <c r="J38" s="6">
        <v>24696</v>
      </c>
      <c r="K38">
        <v>0</v>
      </c>
      <c r="L38" s="6">
        <v>93667</v>
      </c>
      <c r="M38">
        <v>108</v>
      </c>
      <c r="N38">
        <v>30</v>
      </c>
      <c r="O38">
        <v>138</v>
      </c>
      <c r="P38" s="6">
        <v>13903</v>
      </c>
      <c r="Q38" s="6">
        <v>0</v>
      </c>
      <c r="R38" s="6">
        <v>7734</v>
      </c>
      <c r="S38" s="6">
        <v>8622</v>
      </c>
      <c r="T38" s="6">
        <v>124064</v>
      </c>
      <c r="U38" s="6">
        <v>82982</v>
      </c>
      <c r="V38" s="6">
        <v>41082</v>
      </c>
    </row>
    <row r="39" spans="1:22" x14ac:dyDescent="0.25">
      <c r="A39">
        <v>2025</v>
      </c>
      <c r="B39" s="1" t="s">
        <v>16</v>
      </c>
      <c r="C39" t="s">
        <v>52</v>
      </c>
      <c r="D39" s="1" t="s">
        <v>443</v>
      </c>
      <c r="E39" t="s">
        <v>118</v>
      </c>
      <c r="F39" s="6">
        <v>141490</v>
      </c>
      <c r="G39" s="6">
        <v>111299</v>
      </c>
      <c r="H39" s="6">
        <v>24262</v>
      </c>
      <c r="I39" s="6">
        <v>87037</v>
      </c>
      <c r="J39" s="6">
        <v>30191</v>
      </c>
      <c r="K39" s="6">
        <v>14229</v>
      </c>
      <c r="L39" s="6">
        <v>131457</v>
      </c>
      <c r="M39">
        <v>192</v>
      </c>
      <c r="N39">
        <v>52</v>
      </c>
      <c r="O39">
        <v>244</v>
      </c>
      <c r="P39" s="6">
        <v>13174</v>
      </c>
      <c r="Q39" s="6">
        <v>0</v>
      </c>
      <c r="R39" s="6">
        <v>9275</v>
      </c>
      <c r="S39" s="6">
        <v>10140</v>
      </c>
      <c r="T39" s="6">
        <v>164290</v>
      </c>
      <c r="U39" s="6">
        <v>100403</v>
      </c>
      <c r="V39" s="6">
        <v>63887</v>
      </c>
    </row>
    <row r="40" spans="1:22" x14ac:dyDescent="0.25">
      <c r="A40">
        <v>2025</v>
      </c>
      <c r="B40" s="1" t="s">
        <v>20</v>
      </c>
      <c r="C40" t="s">
        <v>56</v>
      </c>
      <c r="D40" s="1" t="s">
        <v>444</v>
      </c>
      <c r="E40" t="s">
        <v>119</v>
      </c>
      <c r="F40" s="6">
        <v>173033</v>
      </c>
      <c r="G40" s="6">
        <v>136493</v>
      </c>
      <c r="H40" s="6">
        <v>29754</v>
      </c>
      <c r="I40" s="6">
        <v>106739</v>
      </c>
      <c r="J40" s="6">
        <v>36540</v>
      </c>
      <c r="K40">
        <v>38</v>
      </c>
      <c r="L40" s="6">
        <v>143317</v>
      </c>
      <c r="M40">
        <v>281</v>
      </c>
      <c r="N40">
        <v>75</v>
      </c>
      <c r="O40">
        <v>356</v>
      </c>
      <c r="P40" s="6">
        <v>17771</v>
      </c>
      <c r="Q40" s="6">
        <v>0</v>
      </c>
      <c r="R40" s="6">
        <v>11470</v>
      </c>
      <c r="S40" s="6">
        <v>12681</v>
      </c>
      <c r="T40" s="6">
        <v>185595</v>
      </c>
      <c r="U40" s="6">
        <v>124791</v>
      </c>
      <c r="V40" s="6">
        <v>60804</v>
      </c>
    </row>
    <row r="41" spans="1:22" x14ac:dyDescent="0.25">
      <c r="A41">
        <v>2025</v>
      </c>
      <c r="B41" s="1" t="s">
        <v>16</v>
      </c>
      <c r="C41" t="s">
        <v>52</v>
      </c>
      <c r="D41" s="1" t="s">
        <v>445</v>
      </c>
      <c r="E41" t="s">
        <v>120</v>
      </c>
      <c r="F41" s="6">
        <v>320600</v>
      </c>
      <c r="G41" s="6">
        <v>252191</v>
      </c>
      <c r="H41" s="6">
        <v>54975</v>
      </c>
      <c r="I41" s="6">
        <v>197216</v>
      </c>
      <c r="J41" s="6">
        <v>68409</v>
      </c>
      <c r="K41">
        <v>0</v>
      </c>
      <c r="L41" s="6">
        <v>265625</v>
      </c>
      <c r="M41">
        <v>432</v>
      </c>
      <c r="N41">
        <v>117</v>
      </c>
      <c r="O41">
        <v>549</v>
      </c>
      <c r="P41" s="6">
        <v>29544</v>
      </c>
      <c r="Q41" s="6">
        <v>0</v>
      </c>
      <c r="R41" s="6">
        <v>21270</v>
      </c>
      <c r="S41" s="6">
        <v>23252</v>
      </c>
      <c r="T41" s="6">
        <v>340240</v>
      </c>
      <c r="U41" s="6">
        <v>227192</v>
      </c>
      <c r="V41" s="6">
        <v>113048</v>
      </c>
    </row>
    <row r="42" spans="1:22" x14ac:dyDescent="0.25">
      <c r="A42">
        <v>2025</v>
      </c>
      <c r="B42" s="1" t="s">
        <v>21</v>
      </c>
      <c r="C42" t="s">
        <v>57</v>
      </c>
      <c r="D42" s="1" t="s">
        <v>446</v>
      </c>
      <c r="E42" t="s">
        <v>121</v>
      </c>
      <c r="F42" s="6">
        <v>210882</v>
      </c>
      <c r="G42" s="6">
        <v>167643</v>
      </c>
      <c r="H42" s="6">
        <v>36544</v>
      </c>
      <c r="I42" s="6">
        <v>131099</v>
      </c>
      <c r="J42" s="6">
        <v>43239</v>
      </c>
      <c r="K42" s="6">
        <v>9088</v>
      </c>
      <c r="L42" s="6">
        <v>183426</v>
      </c>
      <c r="M42">
        <v>389</v>
      </c>
      <c r="N42">
        <v>100</v>
      </c>
      <c r="O42">
        <v>489</v>
      </c>
      <c r="P42" s="6">
        <v>22110</v>
      </c>
      <c r="Q42" s="6">
        <v>0</v>
      </c>
      <c r="R42" s="6">
        <v>13757</v>
      </c>
      <c r="S42" s="6">
        <v>15124</v>
      </c>
      <c r="T42" s="6">
        <v>234906</v>
      </c>
      <c r="U42" s="6">
        <v>153598</v>
      </c>
      <c r="V42" s="6">
        <v>81308</v>
      </c>
    </row>
    <row r="43" spans="1:22" x14ac:dyDescent="0.25">
      <c r="A43">
        <v>2025</v>
      </c>
      <c r="B43" s="1" t="s">
        <v>18</v>
      </c>
      <c r="C43" t="s">
        <v>54</v>
      </c>
      <c r="D43" s="1" t="s">
        <v>447</v>
      </c>
      <c r="E43" t="s">
        <v>122</v>
      </c>
      <c r="F43" s="6">
        <v>738897</v>
      </c>
      <c r="G43" s="6">
        <v>596919</v>
      </c>
      <c r="H43" s="6">
        <v>130122</v>
      </c>
      <c r="I43" s="6">
        <v>466797</v>
      </c>
      <c r="J43" s="6">
        <v>141978</v>
      </c>
      <c r="K43">
        <v>0</v>
      </c>
      <c r="L43" s="6">
        <v>608775</v>
      </c>
      <c r="M43">
        <v>0</v>
      </c>
      <c r="N43">
        <v>0</v>
      </c>
      <c r="O43">
        <v>0</v>
      </c>
      <c r="P43" s="6">
        <v>63251</v>
      </c>
      <c r="Q43" s="6">
        <v>0</v>
      </c>
      <c r="R43" s="6">
        <v>51864</v>
      </c>
      <c r="S43" s="6">
        <v>56986</v>
      </c>
      <c r="T43" s="6">
        <v>780876</v>
      </c>
      <c r="U43" s="6">
        <v>530048</v>
      </c>
      <c r="V43" s="6">
        <v>250828</v>
      </c>
    </row>
    <row r="44" spans="1:22" x14ac:dyDescent="0.25">
      <c r="A44">
        <v>2025</v>
      </c>
      <c r="B44" s="1" t="s">
        <v>18</v>
      </c>
      <c r="C44" t="s">
        <v>54</v>
      </c>
      <c r="D44" s="1" t="s">
        <v>448</v>
      </c>
      <c r="E44" t="s">
        <v>123</v>
      </c>
      <c r="F44" s="6">
        <v>632498</v>
      </c>
      <c r="G44" s="6">
        <v>510964</v>
      </c>
      <c r="H44" s="6">
        <v>111384</v>
      </c>
      <c r="I44" s="6">
        <v>399580</v>
      </c>
      <c r="J44" s="6">
        <v>121534</v>
      </c>
      <c r="K44">
        <v>0</v>
      </c>
      <c r="L44" s="6">
        <v>521114</v>
      </c>
      <c r="M44">
        <v>0</v>
      </c>
      <c r="N44">
        <v>0</v>
      </c>
      <c r="O44">
        <v>0</v>
      </c>
      <c r="P44" s="6">
        <v>54143</v>
      </c>
      <c r="Q44" s="6">
        <v>0</v>
      </c>
      <c r="R44" s="6">
        <v>64455</v>
      </c>
      <c r="S44" s="6">
        <v>70820</v>
      </c>
      <c r="T44" s="6">
        <v>710532</v>
      </c>
      <c r="U44" s="6">
        <v>453723</v>
      </c>
      <c r="V44" s="6">
        <v>256809</v>
      </c>
    </row>
    <row r="45" spans="1:22" x14ac:dyDescent="0.25">
      <c r="A45">
        <v>2025</v>
      </c>
      <c r="B45" s="1" t="s">
        <v>15</v>
      </c>
      <c r="C45" t="s">
        <v>51</v>
      </c>
      <c r="D45" s="1" t="s">
        <v>449</v>
      </c>
      <c r="E45" t="s">
        <v>124</v>
      </c>
      <c r="F45" s="6">
        <v>2191906</v>
      </c>
      <c r="G45" s="6">
        <v>1712426</v>
      </c>
      <c r="H45" s="6">
        <v>373291</v>
      </c>
      <c r="I45" s="6">
        <v>1339135</v>
      </c>
      <c r="J45" s="6">
        <v>479480</v>
      </c>
      <c r="K45">
        <v>0</v>
      </c>
      <c r="L45" s="6">
        <v>1818615</v>
      </c>
      <c r="M45" s="6">
        <v>2117</v>
      </c>
      <c r="N45">
        <v>593</v>
      </c>
      <c r="O45" s="6">
        <v>2710</v>
      </c>
      <c r="P45" s="6">
        <v>269929</v>
      </c>
      <c r="Q45" s="6">
        <v>0</v>
      </c>
      <c r="R45" s="6">
        <v>150114</v>
      </c>
      <c r="S45" s="6">
        <v>167348</v>
      </c>
      <c r="T45" s="6">
        <v>2408716</v>
      </c>
      <c r="U45" s="6">
        <v>1611181</v>
      </c>
      <c r="V45" s="6">
        <v>797535</v>
      </c>
    </row>
    <row r="46" spans="1:22" x14ac:dyDescent="0.25">
      <c r="A46">
        <v>2025</v>
      </c>
      <c r="B46" s="1" t="s">
        <v>17</v>
      </c>
      <c r="C46" t="s">
        <v>53</v>
      </c>
      <c r="D46" s="1" t="s">
        <v>450</v>
      </c>
      <c r="E46" t="s">
        <v>125</v>
      </c>
      <c r="F46" s="6">
        <v>6349678</v>
      </c>
      <c r="G46" s="6">
        <v>5022891</v>
      </c>
      <c r="H46" s="6">
        <v>1094939</v>
      </c>
      <c r="I46" s="6">
        <v>3927952</v>
      </c>
      <c r="J46" s="6">
        <v>1326787</v>
      </c>
      <c r="K46">
        <v>0</v>
      </c>
      <c r="L46" s="6">
        <v>5254739</v>
      </c>
      <c r="M46" s="6">
        <v>5689</v>
      </c>
      <c r="N46" s="6">
        <v>1503</v>
      </c>
      <c r="O46" s="6">
        <v>7192</v>
      </c>
      <c r="P46" s="6">
        <v>602375</v>
      </c>
      <c r="Q46" s="6">
        <v>0</v>
      </c>
      <c r="R46" s="6">
        <v>462076</v>
      </c>
      <c r="S46" s="6">
        <v>508059</v>
      </c>
      <c r="T46" s="6">
        <v>6834441</v>
      </c>
      <c r="U46" s="6">
        <v>4536016</v>
      </c>
      <c r="V46" s="6">
        <v>2298425</v>
      </c>
    </row>
    <row r="47" spans="1:22" x14ac:dyDescent="0.25">
      <c r="A47">
        <v>2025</v>
      </c>
      <c r="B47" s="1" t="s">
        <v>17</v>
      </c>
      <c r="C47" t="s">
        <v>53</v>
      </c>
      <c r="D47" s="1" t="s">
        <v>451</v>
      </c>
      <c r="E47" t="s">
        <v>126</v>
      </c>
      <c r="F47" s="6">
        <v>435569</v>
      </c>
      <c r="G47" s="6">
        <v>344555</v>
      </c>
      <c r="H47" s="6">
        <v>75110</v>
      </c>
      <c r="I47" s="6">
        <v>269445</v>
      </c>
      <c r="J47" s="6">
        <v>91014</v>
      </c>
      <c r="K47" s="6">
        <v>26224</v>
      </c>
      <c r="L47" s="6">
        <v>386683</v>
      </c>
      <c r="M47">
        <v>389</v>
      </c>
      <c r="N47">
        <v>103</v>
      </c>
      <c r="O47">
        <v>492</v>
      </c>
      <c r="P47" s="6">
        <v>41321</v>
      </c>
      <c r="Q47" s="6">
        <v>0</v>
      </c>
      <c r="R47" s="6">
        <v>30173</v>
      </c>
      <c r="S47" s="6">
        <v>33176</v>
      </c>
      <c r="T47" s="6">
        <v>491845</v>
      </c>
      <c r="U47" s="6">
        <v>311155</v>
      </c>
      <c r="V47" s="6">
        <v>180690</v>
      </c>
    </row>
    <row r="48" spans="1:22" x14ac:dyDescent="0.25">
      <c r="A48">
        <v>2025</v>
      </c>
      <c r="B48" s="1" t="s">
        <v>21</v>
      </c>
      <c r="C48" t="s">
        <v>57</v>
      </c>
      <c r="D48" s="1" t="s">
        <v>452</v>
      </c>
      <c r="E48" t="s">
        <v>127</v>
      </c>
      <c r="F48" s="6">
        <v>513923</v>
      </c>
      <c r="G48" s="6">
        <v>408548</v>
      </c>
      <c r="H48" s="6">
        <v>89059</v>
      </c>
      <c r="I48" s="6">
        <v>319489</v>
      </c>
      <c r="J48" s="6">
        <v>105375</v>
      </c>
      <c r="K48">
        <v>0</v>
      </c>
      <c r="L48" s="6">
        <v>424864</v>
      </c>
      <c r="M48">
        <v>945</v>
      </c>
      <c r="N48">
        <v>244</v>
      </c>
      <c r="O48" s="6">
        <v>1189</v>
      </c>
      <c r="P48" s="6">
        <v>51689</v>
      </c>
      <c r="Q48" s="6">
        <v>0</v>
      </c>
      <c r="R48" s="6">
        <v>33908</v>
      </c>
      <c r="S48" s="6">
        <v>37279</v>
      </c>
      <c r="T48" s="6">
        <v>548929</v>
      </c>
      <c r="U48" s="6">
        <v>372123</v>
      </c>
      <c r="V48" s="6">
        <v>176806</v>
      </c>
    </row>
    <row r="49" spans="1:22" x14ac:dyDescent="0.25">
      <c r="A49">
        <v>2025</v>
      </c>
      <c r="B49" s="1" t="s">
        <v>17</v>
      </c>
      <c r="C49" t="s">
        <v>53</v>
      </c>
      <c r="D49" s="1" t="s">
        <v>453</v>
      </c>
      <c r="E49" t="s">
        <v>128</v>
      </c>
      <c r="F49" s="6">
        <v>156751</v>
      </c>
      <c r="G49" s="6">
        <v>123998</v>
      </c>
      <c r="H49" s="6">
        <v>27030</v>
      </c>
      <c r="I49" s="6">
        <v>96968</v>
      </c>
      <c r="J49" s="6">
        <v>32753</v>
      </c>
      <c r="K49" s="6">
        <v>8157</v>
      </c>
      <c r="L49" s="6">
        <v>137878</v>
      </c>
      <c r="M49">
        <v>140</v>
      </c>
      <c r="N49">
        <v>37</v>
      </c>
      <c r="O49">
        <v>177</v>
      </c>
      <c r="P49" s="6">
        <v>14871</v>
      </c>
      <c r="Q49" s="6">
        <v>0</v>
      </c>
      <c r="R49" s="6">
        <v>11009</v>
      </c>
      <c r="S49" s="6">
        <v>12105</v>
      </c>
      <c r="T49" s="6">
        <v>176040</v>
      </c>
      <c r="U49" s="6">
        <v>111979</v>
      </c>
      <c r="V49" s="6">
        <v>64061</v>
      </c>
    </row>
    <row r="50" spans="1:22" x14ac:dyDescent="0.25">
      <c r="A50">
        <v>2025</v>
      </c>
      <c r="B50" s="1" t="s">
        <v>13</v>
      </c>
      <c r="C50" t="s">
        <v>49</v>
      </c>
      <c r="D50" s="1" t="s">
        <v>454</v>
      </c>
      <c r="E50" t="s">
        <v>129</v>
      </c>
      <c r="F50" s="6">
        <v>191505</v>
      </c>
      <c r="G50" s="6">
        <v>145047</v>
      </c>
      <c r="H50" s="6">
        <v>31619</v>
      </c>
      <c r="I50" s="6">
        <v>113428</v>
      </c>
      <c r="J50" s="6">
        <v>46458</v>
      </c>
      <c r="K50">
        <v>0</v>
      </c>
      <c r="L50" s="6">
        <v>159886</v>
      </c>
      <c r="M50">
        <v>381</v>
      </c>
      <c r="N50">
        <v>122</v>
      </c>
      <c r="O50">
        <v>503</v>
      </c>
      <c r="P50" s="6">
        <v>18980</v>
      </c>
      <c r="Q50" s="6">
        <v>0</v>
      </c>
      <c r="R50" s="6">
        <v>11953</v>
      </c>
      <c r="S50" s="6">
        <v>13315</v>
      </c>
      <c r="T50" s="6">
        <v>204637</v>
      </c>
      <c r="U50" s="6">
        <v>132788</v>
      </c>
      <c r="V50" s="6">
        <v>71849</v>
      </c>
    </row>
    <row r="51" spans="1:22" x14ac:dyDescent="0.25">
      <c r="A51">
        <v>2025</v>
      </c>
      <c r="B51" s="1" t="s">
        <v>16</v>
      </c>
      <c r="C51" t="s">
        <v>52</v>
      </c>
      <c r="D51" s="1" t="s">
        <v>455</v>
      </c>
      <c r="E51" t="s">
        <v>130</v>
      </c>
      <c r="F51" s="6">
        <v>572583</v>
      </c>
      <c r="G51" s="6">
        <v>450406</v>
      </c>
      <c r="H51" s="6">
        <v>98184</v>
      </c>
      <c r="I51" s="6">
        <v>352222</v>
      </c>
      <c r="J51" s="6">
        <v>122177</v>
      </c>
      <c r="K51">
        <v>0</v>
      </c>
      <c r="L51" s="6">
        <v>474399</v>
      </c>
      <c r="M51">
        <v>772</v>
      </c>
      <c r="N51">
        <v>210</v>
      </c>
      <c r="O51">
        <v>982</v>
      </c>
      <c r="P51" s="6">
        <v>52764</v>
      </c>
      <c r="Q51" s="6">
        <v>0</v>
      </c>
      <c r="R51" s="6">
        <v>41269</v>
      </c>
      <c r="S51" s="6">
        <v>45115</v>
      </c>
      <c r="T51" s="6">
        <v>614529</v>
      </c>
      <c r="U51" s="6">
        <v>405758</v>
      </c>
      <c r="V51" s="6">
        <v>208771</v>
      </c>
    </row>
    <row r="52" spans="1:22" x14ac:dyDescent="0.25">
      <c r="A52">
        <v>2025</v>
      </c>
      <c r="B52" s="1" t="s">
        <v>20</v>
      </c>
      <c r="C52" t="s">
        <v>56</v>
      </c>
      <c r="D52" s="1" t="s">
        <v>456</v>
      </c>
      <c r="E52" t="s">
        <v>131</v>
      </c>
      <c r="F52" s="6">
        <v>257573</v>
      </c>
      <c r="G52" s="6">
        <v>203180</v>
      </c>
      <c r="H52" s="6">
        <v>44291</v>
      </c>
      <c r="I52" s="6">
        <v>158889</v>
      </c>
      <c r="J52" s="6">
        <v>54393</v>
      </c>
      <c r="K52">
        <v>0</v>
      </c>
      <c r="L52" s="6">
        <v>213282</v>
      </c>
      <c r="M52">
        <v>419</v>
      </c>
      <c r="N52">
        <v>112</v>
      </c>
      <c r="O52">
        <v>531</v>
      </c>
      <c r="P52" s="6">
        <v>26451</v>
      </c>
      <c r="Q52" s="6">
        <v>0</v>
      </c>
      <c r="R52" s="6">
        <v>16108</v>
      </c>
      <c r="S52" s="6">
        <v>17810</v>
      </c>
      <c r="T52" s="6">
        <v>274182</v>
      </c>
      <c r="U52" s="6">
        <v>185759</v>
      </c>
      <c r="V52" s="6">
        <v>88423</v>
      </c>
    </row>
    <row r="53" spans="1:22" x14ac:dyDescent="0.25">
      <c r="A53">
        <v>2025</v>
      </c>
      <c r="B53" s="1" t="s">
        <v>21</v>
      </c>
      <c r="C53" t="s">
        <v>57</v>
      </c>
      <c r="D53" s="1" t="s">
        <v>457</v>
      </c>
      <c r="E53" t="s">
        <v>132</v>
      </c>
      <c r="F53" s="6">
        <v>306508</v>
      </c>
      <c r="G53" s="6">
        <v>243662</v>
      </c>
      <c r="H53" s="6">
        <v>53115</v>
      </c>
      <c r="I53" s="6">
        <v>190547</v>
      </c>
      <c r="J53" s="6">
        <v>62846</v>
      </c>
      <c r="K53">
        <v>0</v>
      </c>
      <c r="L53" s="6">
        <v>253393</v>
      </c>
      <c r="M53">
        <v>564</v>
      </c>
      <c r="N53">
        <v>146</v>
      </c>
      <c r="O53">
        <v>710</v>
      </c>
      <c r="P53" s="6">
        <v>30828</v>
      </c>
      <c r="Q53" s="6">
        <v>0</v>
      </c>
      <c r="R53" s="6">
        <v>21043</v>
      </c>
      <c r="S53" s="6">
        <v>23135</v>
      </c>
      <c r="T53" s="6">
        <v>329109</v>
      </c>
      <c r="U53" s="6">
        <v>221939</v>
      </c>
      <c r="V53" s="6">
        <v>107170</v>
      </c>
    </row>
    <row r="54" spans="1:22" x14ac:dyDescent="0.25">
      <c r="A54">
        <v>2025</v>
      </c>
      <c r="B54" s="1" t="s">
        <v>19</v>
      </c>
      <c r="C54" t="s">
        <v>55</v>
      </c>
      <c r="D54" s="1" t="s">
        <v>458</v>
      </c>
      <c r="E54" t="s">
        <v>133</v>
      </c>
      <c r="F54" s="6">
        <v>296071</v>
      </c>
      <c r="G54" s="6">
        <v>229144</v>
      </c>
      <c r="H54" s="6">
        <v>49951</v>
      </c>
      <c r="I54" s="6">
        <v>179193</v>
      </c>
      <c r="J54" s="6">
        <v>66927</v>
      </c>
      <c r="K54">
        <v>0</v>
      </c>
      <c r="L54" s="6">
        <v>246120</v>
      </c>
      <c r="M54">
        <v>435</v>
      </c>
      <c r="N54">
        <v>127</v>
      </c>
      <c r="O54">
        <v>562</v>
      </c>
      <c r="P54" s="6">
        <v>29848</v>
      </c>
      <c r="Q54" s="6">
        <v>0</v>
      </c>
      <c r="R54" s="6">
        <v>23040</v>
      </c>
      <c r="S54" s="6">
        <v>25794</v>
      </c>
      <c r="T54" s="6">
        <v>325364</v>
      </c>
      <c r="U54" s="6">
        <v>209475</v>
      </c>
      <c r="V54" s="6">
        <v>115889</v>
      </c>
    </row>
    <row r="55" spans="1:22" x14ac:dyDescent="0.25">
      <c r="A55">
        <v>2025</v>
      </c>
      <c r="B55" s="1" t="s">
        <v>15</v>
      </c>
      <c r="C55" t="s">
        <v>51</v>
      </c>
      <c r="D55" s="1" t="s">
        <v>459</v>
      </c>
      <c r="E55" t="s">
        <v>134</v>
      </c>
      <c r="F55" s="6">
        <v>304951</v>
      </c>
      <c r="G55" s="6">
        <v>238243</v>
      </c>
      <c r="H55" s="6">
        <v>51935</v>
      </c>
      <c r="I55" s="6">
        <v>186308</v>
      </c>
      <c r="J55" s="6">
        <v>66708</v>
      </c>
      <c r="K55" s="6">
        <v>4684</v>
      </c>
      <c r="L55" s="6">
        <v>257700</v>
      </c>
      <c r="M55">
        <v>294</v>
      </c>
      <c r="N55">
        <v>83</v>
      </c>
      <c r="O55">
        <v>377</v>
      </c>
      <c r="P55" s="6">
        <v>38284</v>
      </c>
      <c r="Q55" s="6">
        <v>0</v>
      </c>
      <c r="R55" s="6">
        <v>21204</v>
      </c>
      <c r="S55" s="6">
        <v>23638</v>
      </c>
      <c r="T55" s="6">
        <v>341203</v>
      </c>
      <c r="U55" s="6">
        <v>224886</v>
      </c>
      <c r="V55" s="6">
        <v>116317</v>
      </c>
    </row>
    <row r="56" spans="1:22" x14ac:dyDescent="0.25">
      <c r="A56">
        <v>2025</v>
      </c>
      <c r="B56" s="1" t="s">
        <v>21</v>
      </c>
      <c r="C56" t="s">
        <v>57</v>
      </c>
      <c r="D56" s="1" t="s">
        <v>460</v>
      </c>
      <c r="E56" t="s">
        <v>135</v>
      </c>
      <c r="F56" s="6">
        <v>499994</v>
      </c>
      <c r="G56" s="6">
        <v>397475</v>
      </c>
      <c r="H56" s="6">
        <v>86645</v>
      </c>
      <c r="I56" s="6">
        <v>310830</v>
      </c>
      <c r="J56" s="6">
        <v>102519</v>
      </c>
      <c r="K56">
        <v>0</v>
      </c>
      <c r="L56" s="6">
        <v>413349</v>
      </c>
      <c r="M56">
        <v>921</v>
      </c>
      <c r="N56">
        <v>237</v>
      </c>
      <c r="O56" s="6">
        <v>1158</v>
      </c>
      <c r="P56" s="6">
        <v>50288</v>
      </c>
      <c r="Q56" s="6">
        <v>0</v>
      </c>
      <c r="R56" s="6">
        <v>33476</v>
      </c>
      <c r="S56" s="6">
        <v>36802</v>
      </c>
      <c r="T56" s="6">
        <v>535073</v>
      </c>
      <c r="U56" s="6">
        <v>362039</v>
      </c>
      <c r="V56" s="6">
        <v>173034</v>
      </c>
    </row>
    <row r="57" spans="1:22" x14ac:dyDescent="0.25">
      <c r="A57">
        <v>2025</v>
      </c>
      <c r="B57" s="1" t="s">
        <v>15</v>
      </c>
      <c r="C57" t="s">
        <v>51</v>
      </c>
      <c r="D57" s="1" t="s">
        <v>461</v>
      </c>
      <c r="E57" t="s">
        <v>136</v>
      </c>
      <c r="F57" s="6">
        <v>613765</v>
      </c>
      <c r="G57" s="6">
        <v>479504</v>
      </c>
      <c r="H57" s="6">
        <v>104527</v>
      </c>
      <c r="I57" s="6">
        <v>374977</v>
      </c>
      <c r="J57" s="6">
        <v>134261</v>
      </c>
      <c r="K57">
        <v>0</v>
      </c>
      <c r="L57" s="6">
        <v>509238</v>
      </c>
      <c r="M57">
        <v>591</v>
      </c>
      <c r="N57">
        <v>166</v>
      </c>
      <c r="O57">
        <v>757</v>
      </c>
      <c r="P57" s="6">
        <v>75584</v>
      </c>
      <c r="Q57" s="6">
        <v>0</v>
      </c>
      <c r="R57" s="6">
        <v>41895</v>
      </c>
      <c r="S57" s="6">
        <v>46704</v>
      </c>
      <c r="T57" s="6">
        <v>674178</v>
      </c>
      <c r="U57" s="6">
        <v>451152</v>
      </c>
      <c r="V57" s="6">
        <v>223026</v>
      </c>
    </row>
    <row r="58" spans="1:22" x14ac:dyDescent="0.25">
      <c r="A58">
        <v>2025</v>
      </c>
      <c r="B58" s="1" t="s">
        <v>19</v>
      </c>
      <c r="C58" t="s">
        <v>55</v>
      </c>
      <c r="D58" s="1" t="s">
        <v>462</v>
      </c>
      <c r="E58" t="s">
        <v>137</v>
      </c>
      <c r="F58" s="6">
        <v>113359</v>
      </c>
      <c r="G58" s="6">
        <v>87734</v>
      </c>
      <c r="H58" s="6">
        <v>19125</v>
      </c>
      <c r="I58" s="6">
        <v>68609</v>
      </c>
      <c r="J58" s="6">
        <v>25625</v>
      </c>
      <c r="K58" s="6">
        <v>1427</v>
      </c>
      <c r="L58" s="6">
        <v>95661</v>
      </c>
      <c r="M58">
        <v>167</v>
      </c>
      <c r="N58">
        <v>49</v>
      </c>
      <c r="O58">
        <v>216</v>
      </c>
      <c r="P58" s="6">
        <v>11566</v>
      </c>
      <c r="Q58" s="6">
        <v>0</v>
      </c>
      <c r="R58" s="6">
        <v>7142</v>
      </c>
      <c r="S58" s="6">
        <v>7996</v>
      </c>
      <c r="T58" s="6">
        <v>122581</v>
      </c>
      <c r="U58" s="6">
        <v>80342</v>
      </c>
      <c r="V58" s="6">
        <v>42239</v>
      </c>
    </row>
    <row r="59" spans="1:22" x14ac:dyDescent="0.25">
      <c r="A59">
        <v>2025</v>
      </c>
      <c r="B59" s="1" t="s">
        <v>19</v>
      </c>
      <c r="C59" t="s">
        <v>55</v>
      </c>
      <c r="D59" s="1" t="s">
        <v>463</v>
      </c>
      <c r="E59" t="s">
        <v>138</v>
      </c>
      <c r="F59" s="6">
        <v>416204</v>
      </c>
      <c r="G59" s="6">
        <v>322121</v>
      </c>
      <c r="H59" s="6">
        <v>70219</v>
      </c>
      <c r="I59" s="6">
        <v>251902</v>
      </c>
      <c r="J59" s="6">
        <v>94083</v>
      </c>
      <c r="K59">
        <v>0</v>
      </c>
      <c r="L59" s="6">
        <v>345985</v>
      </c>
      <c r="M59">
        <v>613</v>
      </c>
      <c r="N59">
        <v>179</v>
      </c>
      <c r="O59">
        <v>792</v>
      </c>
      <c r="P59" s="6">
        <v>41959</v>
      </c>
      <c r="Q59" s="6">
        <v>0</v>
      </c>
      <c r="R59" s="6">
        <v>26650</v>
      </c>
      <c r="S59" s="6">
        <v>29835</v>
      </c>
      <c r="T59" s="6">
        <v>445221</v>
      </c>
      <c r="U59" s="6">
        <v>294474</v>
      </c>
      <c r="V59" s="6">
        <v>150747</v>
      </c>
    </row>
    <row r="60" spans="1:22" x14ac:dyDescent="0.25">
      <c r="A60">
        <v>2025</v>
      </c>
      <c r="B60" s="1" t="s">
        <v>20</v>
      </c>
      <c r="C60" t="s">
        <v>56</v>
      </c>
      <c r="D60" s="1" t="s">
        <v>464</v>
      </c>
      <c r="E60" t="s">
        <v>139</v>
      </c>
      <c r="F60" s="6">
        <v>367020</v>
      </c>
      <c r="G60" s="6">
        <v>289516</v>
      </c>
      <c r="H60" s="6">
        <v>63111</v>
      </c>
      <c r="I60" s="6">
        <v>226405</v>
      </c>
      <c r="J60" s="6">
        <v>77504</v>
      </c>
      <c r="K60" s="6">
        <v>5273</v>
      </c>
      <c r="L60" s="6">
        <v>309182</v>
      </c>
      <c r="M60">
        <v>597</v>
      </c>
      <c r="N60">
        <v>159</v>
      </c>
      <c r="O60">
        <v>756</v>
      </c>
      <c r="P60" s="6">
        <v>38228</v>
      </c>
      <c r="Q60" s="6">
        <v>0</v>
      </c>
      <c r="R60" s="6">
        <v>26049</v>
      </c>
      <c r="S60" s="6">
        <v>28800</v>
      </c>
      <c r="T60" s="6">
        <v>403015</v>
      </c>
      <c r="U60" s="6">
        <v>265229</v>
      </c>
      <c r="V60" s="6">
        <v>137786</v>
      </c>
    </row>
    <row r="61" spans="1:22" x14ac:dyDescent="0.25">
      <c r="A61">
        <v>2025</v>
      </c>
      <c r="B61" s="1" t="s">
        <v>14</v>
      </c>
      <c r="C61" t="s">
        <v>50</v>
      </c>
      <c r="D61" s="1" t="s">
        <v>465</v>
      </c>
      <c r="E61" t="s">
        <v>140</v>
      </c>
      <c r="F61" s="6">
        <v>382346</v>
      </c>
      <c r="G61" s="6">
        <v>293085</v>
      </c>
      <c r="H61" s="6">
        <v>63889</v>
      </c>
      <c r="I61" s="6">
        <v>229196</v>
      </c>
      <c r="J61" s="6">
        <v>89261</v>
      </c>
      <c r="K61" s="6">
        <v>7949</v>
      </c>
      <c r="L61" s="6">
        <v>326406</v>
      </c>
      <c r="M61">
        <v>0</v>
      </c>
      <c r="N61">
        <v>0</v>
      </c>
      <c r="O61">
        <v>0</v>
      </c>
      <c r="P61" s="6">
        <v>41346</v>
      </c>
      <c r="Q61" s="6">
        <v>0</v>
      </c>
      <c r="R61" s="6">
        <v>25013</v>
      </c>
      <c r="S61" s="6">
        <v>28011</v>
      </c>
      <c r="T61" s="6">
        <v>420776</v>
      </c>
      <c r="U61" s="6">
        <v>270542</v>
      </c>
      <c r="V61" s="6">
        <v>150234</v>
      </c>
    </row>
    <row r="62" spans="1:22" x14ac:dyDescent="0.25">
      <c r="A62">
        <v>2025</v>
      </c>
      <c r="B62" s="1" t="s">
        <v>20</v>
      </c>
      <c r="C62" t="s">
        <v>56</v>
      </c>
      <c r="D62" s="1" t="s">
        <v>466</v>
      </c>
      <c r="E62" t="s">
        <v>141</v>
      </c>
      <c r="F62" s="6">
        <v>552536</v>
      </c>
      <c r="G62" s="6">
        <v>435856</v>
      </c>
      <c r="H62" s="6">
        <v>95012</v>
      </c>
      <c r="I62" s="6">
        <v>340844</v>
      </c>
      <c r="J62" s="6">
        <v>116680</v>
      </c>
      <c r="K62">
        <v>0</v>
      </c>
      <c r="L62" s="6">
        <v>457524</v>
      </c>
      <c r="M62">
        <v>896</v>
      </c>
      <c r="N62">
        <v>240</v>
      </c>
      <c r="O62" s="6">
        <v>1136</v>
      </c>
      <c r="P62" s="6">
        <v>56742</v>
      </c>
      <c r="Q62" s="6">
        <v>0</v>
      </c>
      <c r="R62" s="6">
        <v>36575</v>
      </c>
      <c r="S62" s="6">
        <v>40438</v>
      </c>
      <c r="T62" s="6">
        <v>592415</v>
      </c>
      <c r="U62" s="6">
        <v>398482</v>
      </c>
      <c r="V62" s="6">
        <v>193933</v>
      </c>
    </row>
    <row r="63" spans="1:22" x14ac:dyDescent="0.25">
      <c r="A63">
        <v>2025</v>
      </c>
      <c r="B63" s="1" t="s">
        <v>15</v>
      </c>
      <c r="C63" t="s">
        <v>51</v>
      </c>
      <c r="D63" s="1" t="s">
        <v>467</v>
      </c>
      <c r="E63" t="s">
        <v>142</v>
      </c>
      <c r="F63" s="6">
        <v>112752</v>
      </c>
      <c r="G63" s="6">
        <v>88088</v>
      </c>
      <c r="H63" s="6">
        <v>19202</v>
      </c>
      <c r="I63" s="6">
        <v>68886</v>
      </c>
      <c r="J63" s="6">
        <v>24664</v>
      </c>
      <c r="K63" s="6">
        <v>5042</v>
      </c>
      <c r="L63" s="6">
        <v>98592</v>
      </c>
      <c r="M63">
        <v>108</v>
      </c>
      <c r="N63">
        <v>30</v>
      </c>
      <c r="O63">
        <v>138</v>
      </c>
      <c r="P63" s="6">
        <v>14184</v>
      </c>
      <c r="Q63" s="6">
        <v>0</v>
      </c>
      <c r="R63" s="6">
        <v>7298</v>
      </c>
      <c r="S63" s="6">
        <v>8136</v>
      </c>
      <c r="T63" s="6">
        <v>128348</v>
      </c>
      <c r="U63" s="6">
        <v>83178</v>
      </c>
      <c r="V63" s="6">
        <v>45170</v>
      </c>
    </row>
    <row r="64" spans="1:22" x14ac:dyDescent="0.25">
      <c r="A64">
        <v>2025</v>
      </c>
      <c r="B64" s="1" t="s">
        <v>14</v>
      </c>
      <c r="C64" t="s">
        <v>50</v>
      </c>
      <c r="D64" s="1" t="s">
        <v>468</v>
      </c>
      <c r="E64" t="s">
        <v>143</v>
      </c>
      <c r="F64" s="6">
        <v>101886</v>
      </c>
      <c r="G64" s="6">
        <v>78100</v>
      </c>
      <c r="H64" s="6">
        <v>17025</v>
      </c>
      <c r="I64" s="6">
        <v>61075</v>
      </c>
      <c r="J64" s="6">
        <v>23786</v>
      </c>
      <c r="K64" s="6">
        <v>23147</v>
      </c>
      <c r="L64" s="6">
        <v>108008</v>
      </c>
      <c r="M64">
        <v>0</v>
      </c>
      <c r="N64">
        <v>0</v>
      </c>
      <c r="O64">
        <v>0</v>
      </c>
      <c r="P64" s="6">
        <v>11854</v>
      </c>
      <c r="Q64" s="6">
        <v>0</v>
      </c>
      <c r="R64" s="6">
        <v>7509</v>
      </c>
      <c r="S64" s="6">
        <v>8409</v>
      </c>
      <c r="T64" s="6">
        <v>135780</v>
      </c>
      <c r="U64" s="6">
        <v>72929</v>
      </c>
      <c r="V64" s="6">
        <v>62851</v>
      </c>
    </row>
    <row r="65" spans="1:22" x14ac:dyDescent="0.25">
      <c r="A65">
        <v>2025</v>
      </c>
      <c r="B65" s="1" t="s">
        <v>13</v>
      </c>
      <c r="C65" t="s">
        <v>49</v>
      </c>
      <c r="D65" s="1" t="s">
        <v>469</v>
      </c>
      <c r="E65" t="s">
        <v>144</v>
      </c>
      <c r="F65" s="6">
        <v>255058</v>
      </c>
      <c r="G65" s="6">
        <v>193182</v>
      </c>
      <c r="H65" s="6">
        <v>42111</v>
      </c>
      <c r="I65" s="6">
        <v>151071</v>
      </c>
      <c r="J65" s="6">
        <v>61876</v>
      </c>
      <c r="K65">
        <v>0</v>
      </c>
      <c r="L65" s="6">
        <v>212947</v>
      </c>
      <c r="M65">
        <v>505</v>
      </c>
      <c r="N65">
        <v>162</v>
      </c>
      <c r="O65">
        <v>667</v>
      </c>
      <c r="P65" s="6">
        <v>25278</v>
      </c>
      <c r="Q65" s="6">
        <v>0</v>
      </c>
      <c r="R65" s="6">
        <v>16356</v>
      </c>
      <c r="S65" s="6">
        <v>18219</v>
      </c>
      <c r="T65" s="6">
        <v>273467</v>
      </c>
      <c r="U65" s="6">
        <v>176854</v>
      </c>
      <c r="V65" s="6">
        <v>96613</v>
      </c>
    </row>
    <row r="66" spans="1:22" x14ac:dyDescent="0.25">
      <c r="A66">
        <v>2025</v>
      </c>
      <c r="B66" s="1" t="s">
        <v>17</v>
      </c>
      <c r="C66" t="s">
        <v>53</v>
      </c>
      <c r="D66" s="1" t="s">
        <v>470</v>
      </c>
      <c r="E66" t="s">
        <v>145</v>
      </c>
      <c r="F66" s="6">
        <v>1175742</v>
      </c>
      <c r="G66" s="6">
        <v>930066</v>
      </c>
      <c r="H66" s="6">
        <v>202745</v>
      </c>
      <c r="I66" s="6">
        <v>727321</v>
      </c>
      <c r="J66" s="6">
        <v>245676</v>
      </c>
      <c r="K66">
        <v>0</v>
      </c>
      <c r="L66" s="6">
        <v>972997</v>
      </c>
      <c r="M66" s="6">
        <v>1053</v>
      </c>
      <c r="N66">
        <v>278</v>
      </c>
      <c r="O66" s="6">
        <v>1331</v>
      </c>
      <c r="P66" s="6">
        <v>111539</v>
      </c>
      <c r="Q66" s="6">
        <v>0</v>
      </c>
      <c r="R66" s="6">
        <v>78694</v>
      </c>
      <c r="S66" s="6">
        <v>86526</v>
      </c>
      <c r="T66" s="6">
        <v>1251087</v>
      </c>
      <c r="U66" s="6">
        <v>839913</v>
      </c>
      <c r="V66" s="6">
        <v>411174</v>
      </c>
    </row>
    <row r="67" spans="1:22" x14ac:dyDescent="0.25">
      <c r="A67">
        <v>2025</v>
      </c>
      <c r="B67" s="1" t="s">
        <v>15</v>
      </c>
      <c r="C67" t="s">
        <v>51</v>
      </c>
      <c r="D67" s="1" t="s">
        <v>471</v>
      </c>
      <c r="E67" t="s">
        <v>146</v>
      </c>
      <c r="F67" s="6">
        <v>452923</v>
      </c>
      <c r="G67" s="6">
        <v>353846</v>
      </c>
      <c r="H67" s="6">
        <v>77135</v>
      </c>
      <c r="I67" s="6">
        <v>276711</v>
      </c>
      <c r="J67" s="6">
        <v>99077</v>
      </c>
      <c r="K67" s="6">
        <v>2502</v>
      </c>
      <c r="L67" s="6">
        <v>378290</v>
      </c>
      <c r="M67">
        <v>437</v>
      </c>
      <c r="N67">
        <v>123</v>
      </c>
      <c r="O67">
        <v>560</v>
      </c>
      <c r="P67" s="6">
        <v>55777</v>
      </c>
      <c r="Q67" s="6">
        <v>0</v>
      </c>
      <c r="R67" s="6">
        <v>31165</v>
      </c>
      <c r="S67" s="6">
        <v>34743</v>
      </c>
      <c r="T67" s="6">
        <v>500535</v>
      </c>
      <c r="U67" s="6">
        <v>332925</v>
      </c>
      <c r="V67" s="6">
        <v>167610</v>
      </c>
    </row>
    <row r="68" spans="1:22" x14ac:dyDescent="0.25">
      <c r="A68">
        <v>2025</v>
      </c>
      <c r="B68" s="1" t="s">
        <v>16</v>
      </c>
      <c r="C68" t="s">
        <v>52</v>
      </c>
      <c r="D68" s="1" t="s">
        <v>472</v>
      </c>
      <c r="E68" t="s">
        <v>147</v>
      </c>
      <c r="F68" s="6">
        <v>1500958</v>
      </c>
      <c r="G68" s="6">
        <v>1180686</v>
      </c>
      <c r="H68" s="6">
        <v>257378</v>
      </c>
      <c r="I68" s="6">
        <v>923308</v>
      </c>
      <c r="J68" s="6">
        <v>320272</v>
      </c>
      <c r="K68">
        <v>0</v>
      </c>
      <c r="L68" s="6">
        <v>1243580</v>
      </c>
      <c r="M68" s="6">
        <v>2025</v>
      </c>
      <c r="N68">
        <v>549</v>
      </c>
      <c r="O68" s="6">
        <v>2574</v>
      </c>
      <c r="P68" s="6">
        <v>138315</v>
      </c>
      <c r="Q68" s="6">
        <v>0</v>
      </c>
      <c r="R68" s="6">
        <v>95117</v>
      </c>
      <c r="S68" s="6">
        <v>103980</v>
      </c>
      <c r="T68" s="6">
        <v>1583566</v>
      </c>
      <c r="U68" s="6">
        <v>1063648</v>
      </c>
      <c r="V68" s="6">
        <v>519918</v>
      </c>
    </row>
    <row r="69" spans="1:22" x14ac:dyDescent="0.25">
      <c r="A69">
        <v>2025</v>
      </c>
      <c r="B69" s="1" t="s">
        <v>18</v>
      </c>
      <c r="C69" t="s">
        <v>54</v>
      </c>
      <c r="D69" s="1" t="s">
        <v>473</v>
      </c>
      <c r="E69" t="s">
        <v>148</v>
      </c>
      <c r="F69" s="6">
        <v>271918</v>
      </c>
      <c r="G69" s="6">
        <v>219669</v>
      </c>
      <c r="H69" s="6">
        <v>47886</v>
      </c>
      <c r="I69" s="6">
        <v>171783</v>
      </c>
      <c r="J69" s="6">
        <v>52249</v>
      </c>
      <c r="K69">
        <v>0</v>
      </c>
      <c r="L69" s="6">
        <v>224032</v>
      </c>
      <c r="M69">
        <v>0</v>
      </c>
      <c r="N69">
        <v>0</v>
      </c>
      <c r="O69">
        <v>0</v>
      </c>
      <c r="P69" s="6">
        <v>23277</v>
      </c>
      <c r="Q69" s="6">
        <v>0</v>
      </c>
      <c r="R69" s="6">
        <v>18314</v>
      </c>
      <c r="S69" s="6">
        <v>20122</v>
      </c>
      <c r="T69" s="6">
        <v>285745</v>
      </c>
      <c r="U69" s="6">
        <v>195060</v>
      </c>
      <c r="V69" s="6">
        <v>90685</v>
      </c>
    </row>
    <row r="70" spans="1:22" x14ac:dyDescent="0.25">
      <c r="A70">
        <v>2025</v>
      </c>
      <c r="B70" s="1" t="s">
        <v>17</v>
      </c>
      <c r="C70" t="s">
        <v>53</v>
      </c>
      <c r="D70" s="1" t="s">
        <v>474</v>
      </c>
      <c r="E70" t="s">
        <v>149</v>
      </c>
      <c r="F70" s="6">
        <v>1932281</v>
      </c>
      <c r="G70" s="6">
        <v>1528524</v>
      </c>
      <c r="H70" s="6">
        <v>333203</v>
      </c>
      <c r="I70" s="6">
        <v>1195321</v>
      </c>
      <c r="J70" s="6">
        <v>403757</v>
      </c>
      <c r="K70">
        <v>0</v>
      </c>
      <c r="L70" s="6">
        <v>1599078</v>
      </c>
      <c r="M70" s="6">
        <v>1731</v>
      </c>
      <c r="N70">
        <v>457</v>
      </c>
      <c r="O70" s="6">
        <v>2188</v>
      </c>
      <c r="P70" s="6">
        <v>183310</v>
      </c>
      <c r="Q70" s="6">
        <v>0</v>
      </c>
      <c r="R70" s="6">
        <v>133078</v>
      </c>
      <c r="S70" s="6">
        <v>146320</v>
      </c>
      <c r="T70" s="6">
        <v>2063974</v>
      </c>
      <c r="U70" s="6">
        <v>1380362</v>
      </c>
      <c r="V70" s="6">
        <v>683612</v>
      </c>
    </row>
    <row r="71" spans="1:22" x14ac:dyDescent="0.25">
      <c r="A71">
        <v>2025</v>
      </c>
      <c r="B71" s="1" t="s">
        <v>18</v>
      </c>
      <c r="C71" t="s">
        <v>54</v>
      </c>
      <c r="D71" s="1" t="s">
        <v>475</v>
      </c>
      <c r="E71" t="s">
        <v>150</v>
      </c>
      <c r="F71" s="6">
        <v>170913</v>
      </c>
      <c r="G71" s="6">
        <v>138073</v>
      </c>
      <c r="H71" s="6">
        <v>30099</v>
      </c>
      <c r="I71" s="6">
        <v>107974</v>
      </c>
      <c r="J71" s="6">
        <v>32840</v>
      </c>
      <c r="K71">
        <v>950</v>
      </c>
      <c r="L71" s="6">
        <v>141764</v>
      </c>
      <c r="M71">
        <v>0</v>
      </c>
      <c r="N71">
        <v>0</v>
      </c>
      <c r="O71">
        <v>0</v>
      </c>
      <c r="P71" s="6">
        <v>14635</v>
      </c>
      <c r="Q71" s="6">
        <v>0</v>
      </c>
      <c r="R71" s="6">
        <v>11370</v>
      </c>
      <c r="S71" s="6">
        <v>12493</v>
      </c>
      <c r="T71" s="6">
        <v>180262</v>
      </c>
      <c r="U71" s="6">
        <v>122609</v>
      </c>
      <c r="V71" s="6">
        <v>57653</v>
      </c>
    </row>
    <row r="72" spans="1:22" x14ac:dyDescent="0.25">
      <c r="A72">
        <v>2025</v>
      </c>
      <c r="B72" s="1" t="s">
        <v>18</v>
      </c>
      <c r="C72" t="s">
        <v>54</v>
      </c>
      <c r="D72" s="1" t="s">
        <v>476</v>
      </c>
      <c r="E72" t="s">
        <v>151</v>
      </c>
      <c r="F72" s="6">
        <v>170583</v>
      </c>
      <c r="G72" s="6">
        <v>137805</v>
      </c>
      <c r="H72" s="6">
        <v>30040</v>
      </c>
      <c r="I72" s="6">
        <v>107765</v>
      </c>
      <c r="J72" s="6">
        <v>32778</v>
      </c>
      <c r="K72">
        <v>0</v>
      </c>
      <c r="L72" s="6">
        <v>140543</v>
      </c>
      <c r="M72">
        <v>0</v>
      </c>
      <c r="N72">
        <v>0</v>
      </c>
      <c r="O72">
        <v>0</v>
      </c>
      <c r="P72" s="6">
        <v>14602</v>
      </c>
      <c r="Q72" s="6">
        <v>0</v>
      </c>
      <c r="R72" s="6">
        <v>11573</v>
      </c>
      <c r="S72" s="6">
        <v>12716</v>
      </c>
      <c r="T72" s="6">
        <v>179434</v>
      </c>
      <c r="U72" s="6">
        <v>122367</v>
      </c>
      <c r="V72" s="6">
        <v>57067</v>
      </c>
    </row>
    <row r="73" spans="1:22" x14ac:dyDescent="0.25">
      <c r="A73">
        <v>2025</v>
      </c>
      <c r="B73" s="1" t="s">
        <v>16</v>
      </c>
      <c r="C73" t="s">
        <v>52</v>
      </c>
      <c r="D73" s="1" t="s">
        <v>477</v>
      </c>
      <c r="E73" t="s">
        <v>152</v>
      </c>
      <c r="F73" s="6">
        <v>299432</v>
      </c>
      <c r="G73" s="6">
        <v>235540</v>
      </c>
      <c r="H73" s="6">
        <v>51346</v>
      </c>
      <c r="I73" s="6">
        <v>184194</v>
      </c>
      <c r="J73" s="6">
        <v>63892</v>
      </c>
      <c r="K73" s="6">
        <v>0</v>
      </c>
      <c r="L73" s="6">
        <v>248086</v>
      </c>
      <c r="M73">
        <v>402</v>
      </c>
      <c r="N73">
        <v>109</v>
      </c>
      <c r="O73">
        <v>511</v>
      </c>
      <c r="P73" s="6">
        <v>27593</v>
      </c>
      <c r="Q73" s="6">
        <v>0</v>
      </c>
      <c r="R73" s="6">
        <v>19237</v>
      </c>
      <c r="S73" s="6">
        <v>21030</v>
      </c>
      <c r="T73" s="6">
        <v>316457</v>
      </c>
      <c r="U73" s="6">
        <v>212189</v>
      </c>
      <c r="V73" s="6">
        <v>104268</v>
      </c>
    </row>
    <row r="74" spans="1:22" x14ac:dyDescent="0.25">
      <c r="A74">
        <v>2025</v>
      </c>
      <c r="B74" s="1" t="s">
        <v>18</v>
      </c>
      <c r="C74" t="s">
        <v>54</v>
      </c>
      <c r="D74" s="1" t="s">
        <v>478</v>
      </c>
      <c r="E74" t="s">
        <v>153</v>
      </c>
      <c r="F74" s="6">
        <v>168871</v>
      </c>
      <c r="G74" s="6">
        <v>136423</v>
      </c>
      <c r="H74" s="6">
        <v>29739</v>
      </c>
      <c r="I74" s="6">
        <v>106684</v>
      </c>
      <c r="J74" s="6">
        <v>32448</v>
      </c>
      <c r="K74">
        <v>0</v>
      </c>
      <c r="L74" s="6">
        <v>139132</v>
      </c>
      <c r="M74">
        <v>0</v>
      </c>
      <c r="N74">
        <v>0</v>
      </c>
      <c r="O74">
        <v>0</v>
      </c>
      <c r="P74" s="6">
        <v>14456</v>
      </c>
      <c r="Q74" s="6">
        <v>0</v>
      </c>
      <c r="R74" s="6">
        <v>11090</v>
      </c>
      <c r="S74" s="6">
        <v>12185</v>
      </c>
      <c r="T74" s="6">
        <v>176863</v>
      </c>
      <c r="U74" s="6">
        <v>121140</v>
      </c>
      <c r="V74" s="6">
        <v>55723</v>
      </c>
    </row>
    <row r="75" spans="1:22" x14ac:dyDescent="0.25">
      <c r="A75">
        <v>2025</v>
      </c>
      <c r="B75" s="1" t="s">
        <v>20</v>
      </c>
      <c r="C75" t="s">
        <v>56</v>
      </c>
      <c r="D75" s="1" t="s">
        <v>479</v>
      </c>
      <c r="E75" t="s">
        <v>154</v>
      </c>
      <c r="F75" s="6">
        <v>145195</v>
      </c>
      <c r="G75" s="6">
        <v>114534</v>
      </c>
      <c r="H75" s="6">
        <v>24967</v>
      </c>
      <c r="I75" s="6">
        <v>89567</v>
      </c>
      <c r="J75" s="6">
        <v>30661</v>
      </c>
      <c r="K75" s="6">
        <v>6355</v>
      </c>
      <c r="L75" s="6">
        <v>126583</v>
      </c>
      <c r="M75">
        <v>235</v>
      </c>
      <c r="N75">
        <v>63</v>
      </c>
      <c r="O75">
        <v>298</v>
      </c>
      <c r="P75" s="6">
        <v>14911</v>
      </c>
      <c r="Q75" s="6">
        <v>0</v>
      </c>
      <c r="R75" s="6">
        <v>9686</v>
      </c>
      <c r="S75" s="6">
        <v>10708</v>
      </c>
      <c r="T75" s="6">
        <v>162186</v>
      </c>
      <c r="U75" s="6">
        <v>104713</v>
      </c>
      <c r="V75" s="6">
        <v>57473</v>
      </c>
    </row>
    <row r="76" spans="1:22" x14ac:dyDescent="0.25">
      <c r="A76">
        <v>2025</v>
      </c>
      <c r="B76" s="1" t="s">
        <v>20</v>
      </c>
      <c r="C76" t="s">
        <v>56</v>
      </c>
      <c r="D76" s="1" t="s">
        <v>480</v>
      </c>
      <c r="E76" t="s">
        <v>155</v>
      </c>
      <c r="F76" s="6">
        <v>3716305</v>
      </c>
      <c r="G76" s="6">
        <v>2931525</v>
      </c>
      <c r="H76" s="6">
        <v>639043</v>
      </c>
      <c r="I76" s="6">
        <v>2292482</v>
      </c>
      <c r="J76" s="6">
        <v>784780</v>
      </c>
      <c r="K76">
        <v>0</v>
      </c>
      <c r="L76" s="6">
        <v>3077262</v>
      </c>
      <c r="M76" s="6">
        <v>6029</v>
      </c>
      <c r="N76" s="6">
        <v>1614</v>
      </c>
      <c r="O76" s="6">
        <v>7643</v>
      </c>
      <c r="P76" s="6">
        <v>381641</v>
      </c>
      <c r="Q76" s="6">
        <v>0</v>
      </c>
      <c r="R76" s="6">
        <v>231864</v>
      </c>
      <c r="S76" s="6">
        <v>256354</v>
      </c>
      <c r="T76" s="6">
        <v>3954764</v>
      </c>
      <c r="U76" s="6">
        <v>2680152</v>
      </c>
      <c r="V76" s="6">
        <v>1274612</v>
      </c>
    </row>
    <row r="77" spans="1:22" x14ac:dyDescent="0.25">
      <c r="A77">
        <v>2025</v>
      </c>
      <c r="B77" s="1" t="s">
        <v>20</v>
      </c>
      <c r="C77" t="s">
        <v>56</v>
      </c>
      <c r="D77" s="1" t="s">
        <v>481</v>
      </c>
      <c r="E77" t="s">
        <v>156</v>
      </c>
      <c r="F77" s="6">
        <v>533940</v>
      </c>
      <c r="G77" s="6">
        <v>421187</v>
      </c>
      <c r="H77" s="6">
        <v>91815</v>
      </c>
      <c r="I77" s="6">
        <v>329372</v>
      </c>
      <c r="J77" s="6">
        <v>112753</v>
      </c>
      <c r="K77">
        <v>0</v>
      </c>
      <c r="L77" s="6">
        <v>442125</v>
      </c>
      <c r="M77">
        <v>867</v>
      </c>
      <c r="N77">
        <v>232</v>
      </c>
      <c r="O77" s="6">
        <v>1099</v>
      </c>
      <c r="P77" s="6">
        <v>54832</v>
      </c>
      <c r="Q77" s="6">
        <v>0</v>
      </c>
      <c r="R77" s="6">
        <v>37799</v>
      </c>
      <c r="S77" s="6">
        <v>41791</v>
      </c>
      <c r="T77" s="6">
        <v>577646</v>
      </c>
      <c r="U77" s="6">
        <v>385070</v>
      </c>
      <c r="V77" s="6">
        <v>192576</v>
      </c>
    </row>
    <row r="78" spans="1:22" x14ac:dyDescent="0.25">
      <c r="A78">
        <v>2025</v>
      </c>
      <c r="B78" s="1" t="s">
        <v>18</v>
      </c>
      <c r="C78" t="s">
        <v>54</v>
      </c>
      <c r="D78" s="1" t="s">
        <v>482</v>
      </c>
      <c r="E78" t="s">
        <v>157</v>
      </c>
      <c r="F78" s="6">
        <v>1299635</v>
      </c>
      <c r="G78" s="6">
        <v>1049911</v>
      </c>
      <c r="H78" s="6">
        <v>228870</v>
      </c>
      <c r="I78" s="6">
        <v>821041</v>
      </c>
      <c r="J78" s="6">
        <v>249724</v>
      </c>
      <c r="K78">
        <v>0</v>
      </c>
      <c r="L78" s="6">
        <v>1070765</v>
      </c>
      <c r="M78">
        <v>0</v>
      </c>
      <c r="N78">
        <v>0</v>
      </c>
      <c r="O78">
        <v>0</v>
      </c>
      <c r="P78" s="6">
        <v>111252</v>
      </c>
      <c r="Q78" s="6">
        <v>0</v>
      </c>
      <c r="R78" s="6">
        <v>91442</v>
      </c>
      <c r="S78" s="6">
        <v>100473</v>
      </c>
      <c r="T78" s="6">
        <v>1373932</v>
      </c>
      <c r="U78" s="6">
        <v>932293</v>
      </c>
      <c r="V78" s="6">
        <v>441639</v>
      </c>
    </row>
    <row r="79" spans="1:22" x14ac:dyDescent="0.25">
      <c r="A79">
        <v>2025</v>
      </c>
      <c r="B79" s="1" t="s">
        <v>21</v>
      </c>
      <c r="C79" t="s">
        <v>57</v>
      </c>
      <c r="D79" s="1" t="s">
        <v>483</v>
      </c>
      <c r="E79" t="s">
        <v>158</v>
      </c>
      <c r="F79" s="6">
        <v>164399</v>
      </c>
      <c r="G79" s="6">
        <v>130691</v>
      </c>
      <c r="H79" s="6">
        <v>28489</v>
      </c>
      <c r="I79" s="6">
        <v>102202</v>
      </c>
      <c r="J79" s="6">
        <v>33708</v>
      </c>
      <c r="K79" s="6">
        <v>8711</v>
      </c>
      <c r="L79" s="6">
        <v>144621</v>
      </c>
      <c r="M79">
        <v>302</v>
      </c>
      <c r="N79">
        <v>78</v>
      </c>
      <c r="O79">
        <v>380</v>
      </c>
      <c r="P79" s="6">
        <v>16535</v>
      </c>
      <c r="Q79" s="6">
        <v>0</v>
      </c>
      <c r="R79" s="6">
        <v>11541</v>
      </c>
      <c r="S79" s="6">
        <v>12688</v>
      </c>
      <c r="T79" s="6">
        <v>185765</v>
      </c>
      <c r="U79" s="6">
        <v>119039</v>
      </c>
      <c r="V79" s="6">
        <v>66726</v>
      </c>
    </row>
    <row r="80" spans="1:22" x14ac:dyDescent="0.25">
      <c r="A80">
        <v>2025</v>
      </c>
      <c r="B80" s="1" t="s">
        <v>16</v>
      </c>
      <c r="C80" t="s">
        <v>52</v>
      </c>
      <c r="D80" s="1" t="s">
        <v>484</v>
      </c>
      <c r="E80" t="s">
        <v>159</v>
      </c>
      <c r="F80" s="6">
        <v>5571695</v>
      </c>
      <c r="G80" s="6">
        <v>4382816</v>
      </c>
      <c r="H80" s="6">
        <v>955409</v>
      </c>
      <c r="I80" s="6">
        <v>3427407</v>
      </c>
      <c r="J80" s="6">
        <v>1188879</v>
      </c>
      <c r="K80" s="6">
        <v>31313</v>
      </c>
      <c r="L80" s="6">
        <v>4647599</v>
      </c>
      <c r="M80" s="6">
        <v>7514</v>
      </c>
      <c r="N80" s="6">
        <v>2038</v>
      </c>
      <c r="O80" s="6">
        <v>9552</v>
      </c>
      <c r="P80" s="6">
        <v>513439</v>
      </c>
      <c r="Q80" s="6">
        <v>0</v>
      </c>
      <c r="R80" s="6">
        <v>397825</v>
      </c>
      <c r="S80" s="6">
        <v>434896</v>
      </c>
      <c r="T80" s="6">
        <v>6003311</v>
      </c>
      <c r="U80" s="6">
        <v>3948360</v>
      </c>
      <c r="V80" s="6">
        <v>2054951</v>
      </c>
    </row>
    <row r="81" spans="1:22" x14ac:dyDescent="0.25">
      <c r="A81">
        <v>2025</v>
      </c>
      <c r="B81" s="1" t="s">
        <v>21</v>
      </c>
      <c r="C81" t="s">
        <v>57</v>
      </c>
      <c r="D81" s="1" t="s">
        <v>485</v>
      </c>
      <c r="E81" t="s">
        <v>160</v>
      </c>
      <c r="F81" s="6">
        <v>423422</v>
      </c>
      <c r="G81" s="6">
        <v>336604</v>
      </c>
      <c r="H81" s="6">
        <v>73376</v>
      </c>
      <c r="I81" s="6">
        <v>263228</v>
      </c>
      <c r="J81" s="6">
        <v>86818</v>
      </c>
      <c r="K81">
        <v>0</v>
      </c>
      <c r="L81" s="6">
        <v>350046</v>
      </c>
      <c r="M81">
        <v>780</v>
      </c>
      <c r="N81">
        <v>202</v>
      </c>
      <c r="O81">
        <v>982</v>
      </c>
      <c r="P81" s="6">
        <v>42587</v>
      </c>
      <c r="Q81" s="6">
        <v>0</v>
      </c>
      <c r="R81" s="6">
        <v>28635</v>
      </c>
      <c r="S81" s="6">
        <v>31481</v>
      </c>
      <c r="T81" s="6">
        <v>453731</v>
      </c>
      <c r="U81" s="6">
        <v>306595</v>
      </c>
      <c r="V81" s="6">
        <v>147136</v>
      </c>
    </row>
    <row r="82" spans="1:22" x14ac:dyDescent="0.25">
      <c r="A82">
        <v>2025</v>
      </c>
      <c r="B82" s="1" t="s">
        <v>13</v>
      </c>
      <c r="C82" t="s">
        <v>49</v>
      </c>
      <c r="D82" s="1" t="s">
        <v>486</v>
      </c>
      <c r="E82" t="s">
        <v>161</v>
      </c>
      <c r="F82" s="6">
        <v>604387</v>
      </c>
      <c r="G82" s="6">
        <v>457766</v>
      </c>
      <c r="H82" s="6">
        <v>99788</v>
      </c>
      <c r="I82" s="6">
        <v>357978</v>
      </c>
      <c r="J82" s="6">
        <v>146621</v>
      </c>
      <c r="K82">
        <v>0</v>
      </c>
      <c r="L82" s="6">
        <v>504599</v>
      </c>
      <c r="M82" s="6">
        <v>1196</v>
      </c>
      <c r="N82">
        <v>383</v>
      </c>
      <c r="O82" s="6">
        <v>1579</v>
      </c>
      <c r="P82" s="6">
        <v>59900</v>
      </c>
      <c r="Q82" s="6">
        <v>0</v>
      </c>
      <c r="R82" s="6">
        <v>42336</v>
      </c>
      <c r="S82" s="6">
        <v>47159</v>
      </c>
      <c r="T82" s="6">
        <v>655573</v>
      </c>
      <c r="U82" s="6">
        <v>419074</v>
      </c>
      <c r="V82" s="6">
        <v>236499</v>
      </c>
    </row>
    <row r="83" spans="1:22" x14ac:dyDescent="0.25">
      <c r="A83">
        <v>2025</v>
      </c>
      <c r="B83" s="1" t="s">
        <v>16</v>
      </c>
      <c r="C83" t="s">
        <v>52</v>
      </c>
      <c r="D83" s="1" t="s">
        <v>487</v>
      </c>
      <c r="E83" t="s">
        <v>162</v>
      </c>
      <c r="F83" s="6">
        <v>70196</v>
      </c>
      <c r="G83" s="6">
        <v>55218</v>
      </c>
      <c r="H83" s="6">
        <v>12037</v>
      </c>
      <c r="I83" s="6">
        <v>43181</v>
      </c>
      <c r="J83" s="6">
        <v>14978</v>
      </c>
      <c r="K83" s="6">
        <v>5662</v>
      </c>
      <c r="L83" s="6">
        <v>63821</v>
      </c>
      <c r="M83">
        <v>95</v>
      </c>
      <c r="N83">
        <v>25</v>
      </c>
      <c r="O83">
        <v>120</v>
      </c>
      <c r="P83" s="6">
        <v>6970</v>
      </c>
      <c r="Q83">
        <v>0</v>
      </c>
      <c r="R83" s="6">
        <v>4650</v>
      </c>
      <c r="S83" s="6">
        <v>5084</v>
      </c>
      <c r="T83" s="6">
        <v>80645</v>
      </c>
      <c r="U83" s="6">
        <v>50245</v>
      </c>
      <c r="V83" s="6">
        <v>30400</v>
      </c>
    </row>
    <row r="84" spans="1:22" x14ac:dyDescent="0.25">
      <c r="A84">
        <v>2025</v>
      </c>
      <c r="B84" s="1" t="s">
        <v>19</v>
      </c>
      <c r="C84" t="s">
        <v>55</v>
      </c>
      <c r="D84" s="1" t="s">
        <v>488</v>
      </c>
      <c r="E84" t="s">
        <v>163</v>
      </c>
      <c r="F84" s="6">
        <v>772516</v>
      </c>
      <c r="G84" s="6">
        <v>597888</v>
      </c>
      <c r="H84" s="6">
        <v>130334</v>
      </c>
      <c r="I84" s="6">
        <v>467554</v>
      </c>
      <c r="J84" s="6">
        <v>174628</v>
      </c>
      <c r="K84" s="6">
        <v>15110</v>
      </c>
      <c r="L84" s="6">
        <v>657292</v>
      </c>
      <c r="M84" s="6">
        <v>1137</v>
      </c>
      <c r="N84">
        <v>332</v>
      </c>
      <c r="O84" s="6">
        <v>1469</v>
      </c>
      <c r="P84" s="6">
        <v>79359</v>
      </c>
      <c r="Q84" s="6">
        <v>0</v>
      </c>
      <c r="R84" s="6">
        <v>53837</v>
      </c>
      <c r="S84" s="6">
        <v>60272</v>
      </c>
      <c r="T84" s="6">
        <v>852229</v>
      </c>
      <c r="U84" s="6">
        <v>548050</v>
      </c>
      <c r="V84" s="6">
        <v>304179</v>
      </c>
    </row>
    <row r="85" spans="1:22" x14ac:dyDescent="0.25">
      <c r="A85">
        <v>2025</v>
      </c>
      <c r="B85" s="1" t="s">
        <v>15</v>
      </c>
      <c r="C85" t="s">
        <v>51</v>
      </c>
      <c r="D85" s="1" t="s">
        <v>489</v>
      </c>
      <c r="E85" t="s">
        <v>164</v>
      </c>
      <c r="F85" s="6">
        <v>325742</v>
      </c>
      <c r="G85" s="6">
        <v>254486</v>
      </c>
      <c r="H85" s="6">
        <v>55475</v>
      </c>
      <c r="I85" s="6">
        <v>199011</v>
      </c>
      <c r="J85" s="6">
        <v>71256</v>
      </c>
      <c r="K85">
        <v>0</v>
      </c>
      <c r="L85" s="6">
        <v>270267</v>
      </c>
      <c r="M85">
        <v>313</v>
      </c>
      <c r="N85">
        <v>88</v>
      </c>
      <c r="O85">
        <v>401</v>
      </c>
      <c r="P85" s="6">
        <v>40115</v>
      </c>
      <c r="Q85" s="6">
        <v>0</v>
      </c>
      <c r="R85" s="6">
        <v>22433</v>
      </c>
      <c r="S85" s="6">
        <v>25008</v>
      </c>
      <c r="T85" s="6">
        <v>358224</v>
      </c>
      <c r="U85" s="6">
        <v>239439</v>
      </c>
      <c r="V85" s="6">
        <v>118785</v>
      </c>
    </row>
    <row r="86" spans="1:22" x14ac:dyDescent="0.25">
      <c r="A86">
        <v>2025</v>
      </c>
      <c r="B86" s="1" t="s">
        <v>18</v>
      </c>
      <c r="C86" t="s">
        <v>54</v>
      </c>
      <c r="D86" s="1" t="s">
        <v>490</v>
      </c>
      <c r="E86" t="s">
        <v>165</v>
      </c>
      <c r="F86" s="6">
        <v>12114078</v>
      </c>
      <c r="G86" s="6">
        <v>9786371</v>
      </c>
      <c r="H86" s="6">
        <v>2133328</v>
      </c>
      <c r="I86" s="6">
        <v>7653043</v>
      </c>
      <c r="J86" s="6">
        <v>2327707</v>
      </c>
      <c r="K86">
        <v>0</v>
      </c>
      <c r="L86" s="6">
        <v>9980750</v>
      </c>
      <c r="M86">
        <v>0</v>
      </c>
      <c r="N86">
        <v>0</v>
      </c>
      <c r="O86">
        <v>0</v>
      </c>
      <c r="P86" s="6">
        <v>1036993</v>
      </c>
      <c r="Q86" s="6">
        <v>0</v>
      </c>
      <c r="R86" s="6">
        <v>845289</v>
      </c>
      <c r="S86" s="6">
        <v>928768</v>
      </c>
      <c r="T86" s="6">
        <v>12791800</v>
      </c>
      <c r="U86" s="6">
        <v>8690036</v>
      </c>
      <c r="V86" s="6">
        <v>4101764</v>
      </c>
    </row>
    <row r="87" spans="1:22" x14ac:dyDescent="0.25">
      <c r="A87">
        <v>2025</v>
      </c>
      <c r="B87" s="1" t="s">
        <v>20</v>
      </c>
      <c r="C87" t="s">
        <v>56</v>
      </c>
      <c r="D87" s="1" t="s">
        <v>491</v>
      </c>
      <c r="E87" t="s">
        <v>166</v>
      </c>
      <c r="F87" s="6">
        <v>32698</v>
      </c>
      <c r="G87" s="6">
        <v>25793</v>
      </c>
      <c r="H87" s="6">
        <v>5623</v>
      </c>
      <c r="I87" s="6">
        <v>20170</v>
      </c>
      <c r="J87" s="6">
        <v>6905</v>
      </c>
      <c r="K87" s="6">
        <v>9322</v>
      </c>
      <c r="L87" s="6">
        <v>36397</v>
      </c>
      <c r="M87">
        <v>54</v>
      </c>
      <c r="N87">
        <v>14</v>
      </c>
      <c r="O87">
        <v>68</v>
      </c>
      <c r="P87" s="6">
        <v>4315</v>
      </c>
      <c r="Q87">
        <v>0</v>
      </c>
      <c r="R87" s="6">
        <v>2218</v>
      </c>
      <c r="S87" s="6">
        <v>2452</v>
      </c>
      <c r="T87" s="6">
        <v>45450</v>
      </c>
      <c r="U87" s="6">
        <v>24539</v>
      </c>
      <c r="V87" s="6">
        <v>20911</v>
      </c>
    </row>
    <row r="88" spans="1:22" x14ac:dyDescent="0.25">
      <c r="A88">
        <v>2025</v>
      </c>
      <c r="B88" s="1" t="s">
        <v>15</v>
      </c>
      <c r="C88" t="s">
        <v>51</v>
      </c>
      <c r="D88" s="1" t="s">
        <v>492</v>
      </c>
      <c r="E88" t="s">
        <v>167</v>
      </c>
      <c r="F88" s="6">
        <v>341111</v>
      </c>
      <c r="G88" s="6">
        <v>266493</v>
      </c>
      <c r="H88" s="6">
        <v>58093</v>
      </c>
      <c r="I88" s="6">
        <v>208400</v>
      </c>
      <c r="J88" s="6">
        <v>74618</v>
      </c>
      <c r="K88">
        <v>0</v>
      </c>
      <c r="L88" s="6">
        <v>283018</v>
      </c>
      <c r="M88">
        <v>329</v>
      </c>
      <c r="N88">
        <v>93</v>
      </c>
      <c r="O88">
        <v>422</v>
      </c>
      <c r="P88" s="6">
        <v>42007</v>
      </c>
      <c r="Q88" s="6">
        <v>0</v>
      </c>
      <c r="R88" s="6">
        <v>22689</v>
      </c>
      <c r="S88" s="6">
        <v>25294</v>
      </c>
      <c r="T88" s="6">
        <v>373430</v>
      </c>
      <c r="U88" s="6">
        <v>250736</v>
      </c>
      <c r="V88" s="6">
        <v>122694</v>
      </c>
    </row>
    <row r="89" spans="1:22" x14ac:dyDescent="0.25">
      <c r="A89">
        <v>2025</v>
      </c>
      <c r="B89" s="1" t="s">
        <v>13</v>
      </c>
      <c r="C89" t="s">
        <v>49</v>
      </c>
      <c r="D89" s="1" t="s">
        <v>493</v>
      </c>
      <c r="E89" t="s">
        <v>168</v>
      </c>
      <c r="F89" s="6">
        <v>4249056</v>
      </c>
      <c r="G89" s="6">
        <v>3218260</v>
      </c>
      <c r="H89" s="6">
        <v>701548</v>
      </c>
      <c r="I89" s="6">
        <v>2516712</v>
      </c>
      <c r="J89" s="6">
        <v>1030796</v>
      </c>
      <c r="K89">
        <v>0</v>
      </c>
      <c r="L89" s="6">
        <v>3547508</v>
      </c>
      <c r="M89" s="6">
        <v>8411</v>
      </c>
      <c r="N89" s="6">
        <v>2693</v>
      </c>
      <c r="O89" s="6">
        <v>11104</v>
      </c>
      <c r="P89" s="6">
        <v>421115</v>
      </c>
      <c r="Q89" s="6">
        <v>0</v>
      </c>
      <c r="R89" s="6">
        <v>301188</v>
      </c>
      <c r="S89" s="6">
        <v>335501</v>
      </c>
      <c r="T89" s="6">
        <v>4616416</v>
      </c>
      <c r="U89" s="6">
        <v>2946237</v>
      </c>
      <c r="V89" s="6">
        <v>1670179</v>
      </c>
    </row>
    <row r="90" spans="1:22" x14ac:dyDescent="0.25">
      <c r="A90">
        <v>2025</v>
      </c>
      <c r="B90" s="1" t="s">
        <v>15</v>
      </c>
      <c r="C90" t="s">
        <v>51</v>
      </c>
      <c r="D90" s="1" t="s">
        <v>494</v>
      </c>
      <c r="E90" t="s">
        <v>169</v>
      </c>
      <c r="F90" s="6">
        <v>143130</v>
      </c>
      <c r="G90" s="6">
        <v>111821</v>
      </c>
      <c r="H90" s="6">
        <v>24375</v>
      </c>
      <c r="I90" s="6">
        <v>87446</v>
      </c>
      <c r="J90" s="6">
        <v>31309</v>
      </c>
      <c r="K90" s="6">
        <v>10552</v>
      </c>
      <c r="L90" s="6">
        <v>129307</v>
      </c>
      <c r="M90">
        <v>138</v>
      </c>
      <c r="N90">
        <v>38</v>
      </c>
      <c r="O90">
        <v>176</v>
      </c>
      <c r="P90" s="6">
        <v>17626</v>
      </c>
      <c r="Q90" s="6">
        <v>0</v>
      </c>
      <c r="R90" s="6">
        <v>9629</v>
      </c>
      <c r="S90" s="6">
        <v>10734</v>
      </c>
      <c r="T90" s="6">
        <v>167472</v>
      </c>
      <c r="U90" s="6">
        <v>105209</v>
      </c>
      <c r="V90" s="6">
        <v>62263</v>
      </c>
    </row>
    <row r="91" spans="1:22" x14ac:dyDescent="0.25">
      <c r="A91">
        <v>2025</v>
      </c>
      <c r="B91" s="1" t="s">
        <v>16</v>
      </c>
      <c r="C91" t="s">
        <v>52</v>
      </c>
      <c r="D91" s="1" t="s">
        <v>495</v>
      </c>
      <c r="E91" t="s">
        <v>170</v>
      </c>
      <c r="F91" s="6">
        <v>187838</v>
      </c>
      <c r="G91" s="6">
        <v>147758</v>
      </c>
      <c r="H91" s="6">
        <v>32210</v>
      </c>
      <c r="I91" s="6">
        <v>115548</v>
      </c>
      <c r="J91" s="6">
        <v>40080</v>
      </c>
      <c r="K91" s="6">
        <v>5202</v>
      </c>
      <c r="L91" s="6">
        <v>160830</v>
      </c>
      <c r="M91">
        <v>254</v>
      </c>
      <c r="N91">
        <v>69</v>
      </c>
      <c r="O91">
        <v>323</v>
      </c>
      <c r="P91" s="6">
        <v>17310</v>
      </c>
      <c r="Q91" s="6">
        <v>0</v>
      </c>
      <c r="R91" s="6">
        <v>12655</v>
      </c>
      <c r="S91" s="6">
        <v>13834</v>
      </c>
      <c r="T91" s="6">
        <v>204952</v>
      </c>
      <c r="U91" s="6">
        <v>133111</v>
      </c>
      <c r="V91" s="6">
        <v>71841</v>
      </c>
    </row>
    <row r="92" spans="1:22" x14ac:dyDescent="0.25">
      <c r="A92">
        <v>2025</v>
      </c>
      <c r="B92" s="1" t="s">
        <v>14</v>
      </c>
      <c r="C92" t="s">
        <v>50</v>
      </c>
      <c r="D92" s="1" t="s">
        <v>496</v>
      </c>
      <c r="E92" t="s">
        <v>171</v>
      </c>
      <c r="F92" s="6">
        <v>394822</v>
      </c>
      <c r="G92" s="6">
        <v>302648</v>
      </c>
      <c r="H92" s="6">
        <v>65975</v>
      </c>
      <c r="I92" s="6">
        <v>236673</v>
      </c>
      <c r="J92" s="6">
        <v>92174</v>
      </c>
      <c r="K92">
        <v>0</v>
      </c>
      <c r="L92" s="6">
        <v>328847</v>
      </c>
      <c r="M92">
        <v>0</v>
      </c>
      <c r="N92">
        <v>0</v>
      </c>
      <c r="O92">
        <v>0</v>
      </c>
      <c r="P92" s="6">
        <v>41799</v>
      </c>
      <c r="Q92" s="6">
        <v>0</v>
      </c>
      <c r="R92" s="6">
        <v>25269</v>
      </c>
      <c r="S92" s="6">
        <v>28298</v>
      </c>
      <c r="T92" s="6">
        <v>424213</v>
      </c>
      <c r="U92" s="6">
        <v>278472</v>
      </c>
      <c r="V92" s="6">
        <v>145741</v>
      </c>
    </row>
    <row r="93" spans="1:22" x14ac:dyDescent="0.25">
      <c r="A93">
        <v>2025</v>
      </c>
      <c r="B93" s="1" t="s">
        <v>18</v>
      </c>
      <c r="C93" t="s">
        <v>54</v>
      </c>
      <c r="D93" s="1" t="s">
        <v>497</v>
      </c>
      <c r="E93" t="s">
        <v>172</v>
      </c>
      <c r="F93" s="6">
        <v>208707</v>
      </c>
      <c r="G93" s="6">
        <v>168604</v>
      </c>
      <c r="H93" s="6">
        <v>36754</v>
      </c>
      <c r="I93" s="6">
        <v>131850</v>
      </c>
      <c r="J93" s="6">
        <v>40103</v>
      </c>
      <c r="K93">
        <v>0</v>
      </c>
      <c r="L93" s="6">
        <v>171953</v>
      </c>
      <c r="M93">
        <v>0</v>
      </c>
      <c r="N93">
        <v>0</v>
      </c>
      <c r="O93">
        <v>0</v>
      </c>
      <c r="P93" s="6">
        <v>17866</v>
      </c>
      <c r="Q93" s="6">
        <v>0</v>
      </c>
      <c r="R93" s="6">
        <v>14804</v>
      </c>
      <c r="S93" s="6">
        <v>16266</v>
      </c>
      <c r="T93" s="6">
        <v>220889</v>
      </c>
      <c r="U93" s="6">
        <v>149716</v>
      </c>
      <c r="V93" s="6">
        <v>71173</v>
      </c>
    </row>
    <row r="94" spans="1:22" x14ac:dyDescent="0.25">
      <c r="A94">
        <v>2025</v>
      </c>
      <c r="B94" s="1" t="s">
        <v>15</v>
      </c>
      <c r="C94" t="s">
        <v>51</v>
      </c>
      <c r="D94" s="1" t="s">
        <v>498</v>
      </c>
      <c r="E94" t="s">
        <v>173</v>
      </c>
      <c r="F94" s="6">
        <v>214386</v>
      </c>
      <c r="G94" s="6">
        <v>167489</v>
      </c>
      <c r="H94" s="6">
        <v>36511</v>
      </c>
      <c r="I94" s="6">
        <v>130978</v>
      </c>
      <c r="J94" s="6">
        <v>46897</v>
      </c>
      <c r="K94">
        <v>374</v>
      </c>
      <c r="L94" s="6">
        <v>178249</v>
      </c>
      <c r="M94">
        <v>208</v>
      </c>
      <c r="N94">
        <v>58</v>
      </c>
      <c r="O94">
        <v>266</v>
      </c>
      <c r="P94" s="6">
        <v>26554</v>
      </c>
      <c r="Q94" s="6">
        <v>0</v>
      </c>
      <c r="R94" s="6">
        <v>13803</v>
      </c>
      <c r="S94" s="6">
        <v>15387</v>
      </c>
      <c r="T94" s="6">
        <v>234259</v>
      </c>
      <c r="U94" s="6">
        <v>157740</v>
      </c>
      <c r="V94" s="6">
        <v>76519</v>
      </c>
    </row>
    <row r="95" spans="1:22" x14ac:dyDescent="0.25">
      <c r="A95">
        <v>2025</v>
      </c>
      <c r="B95" s="1" t="s">
        <v>15</v>
      </c>
      <c r="C95" t="s">
        <v>51</v>
      </c>
      <c r="D95" s="1" t="s">
        <v>499</v>
      </c>
      <c r="E95" t="s">
        <v>174</v>
      </c>
      <c r="F95" s="6">
        <v>202681</v>
      </c>
      <c r="G95" s="6">
        <v>158344</v>
      </c>
      <c r="H95" s="6">
        <v>34518</v>
      </c>
      <c r="I95" s="6">
        <v>123826</v>
      </c>
      <c r="J95" s="6">
        <v>44337</v>
      </c>
      <c r="K95" s="6">
        <v>12922</v>
      </c>
      <c r="L95" s="6">
        <v>181085</v>
      </c>
      <c r="M95">
        <v>194</v>
      </c>
      <c r="N95">
        <v>55</v>
      </c>
      <c r="O95">
        <v>249</v>
      </c>
      <c r="P95" s="6">
        <v>24960</v>
      </c>
      <c r="Q95" s="6">
        <v>0</v>
      </c>
      <c r="R95" s="6">
        <v>13418</v>
      </c>
      <c r="S95" s="6">
        <v>14959</v>
      </c>
      <c r="T95" s="6">
        <v>234671</v>
      </c>
      <c r="U95" s="6">
        <v>148981</v>
      </c>
      <c r="V95" s="6">
        <v>85690</v>
      </c>
    </row>
    <row r="96" spans="1:22" x14ac:dyDescent="0.25">
      <c r="A96">
        <v>2025</v>
      </c>
      <c r="B96" s="1" t="s">
        <v>20</v>
      </c>
      <c r="C96" t="s">
        <v>56</v>
      </c>
      <c r="D96" s="1" t="s">
        <v>500</v>
      </c>
      <c r="E96" t="s">
        <v>175</v>
      </c>
      <c r="F96" s="6">
        <v>216680</v>
      </c>
      <c r="G96" s="6">
        <v>170924</v>
      </c>
      <c r="H96" s="6">
        <v>37259</v>
      </c>
      <c r="I96" s="6">
        <v>133665</v>
      </c>
      <c r="J96" s="6">
        <v>45756</v>
      </c>
      <c r="K96">
        <v>0</v>
      </c>
      <c r="L96" s="6">
        <v>179421</v>
      </c>
      <c r="M96">
        <v>351</v>
      </c>
      <c r="N96">
        <v>94</v>
      </c>
      <c r="O96">
        <v>445</v>
      </c>
      <c r="P96" s="6">
        <v>22252</v>
      </c>
      <c r="Q96" s="6">
        <v>0</v>
      </c>
      <c r="R96" s="6">
        <v>13993</v>
      </c>
      <c r="S96" s="6">
        <v>15471</v>
      </c>
      <c r="T96" s="6">
        <v>231582</v>
      </c>
      <c r="U96" s="6">
        <v>156268</v>
      </c>
      <c r="V96" s="6">
        <v>75314</v>
      </c>
    </row>
    <row r="97" spans="1:22" x14ac:dyDescent="0.25">
      <c r="A97">
        <v>2025</v>
      </c>
      <c r="B97" s="1" t="s">
        <v>14</v>
      </c>
      <c r="C97" t="s">
        <v>50</v>
      </c>
      <c r="D97" s="1" t="s">
        <v>501</v>
      </c>
      <c r="E97" t="s">
        <v>176</v>
      </c>
      <c r="F97" s="6">
        <v>331582</v>
      </c>
      <c r="G97" s="6">
        <v>254173</v>
      </c>
      <c r="H97" s="6">
        <v>55406</v>
      </c>
      <c r="I97" s="6">
        <v>198767</v>
      </c>
      <c r="J97" s="6">
        <v>77409</v>
      </c>
      <c r="K97">
        <v>0</v>
      </c>
      <c r="L97" s="6">
        <v>276176</v>
      </c>
      <c r="M97">
        <v>0</v>
      </c>
      <c r="N97">
        <v>0</v>
      </c>
      <c r="O97">
        <v>0</v>
      </c>
      <c r="P97" s="6">
        <v>35104</v>
      </c>
      <c r="Q97" s="6">
        <v>0</v>
      </c>
      <c r="R97" s="6">
        <v>22860</v>
      </c>
      <c r="S97" s="6">
        <v>25600</v>
      </c>
      <c r="T97" s="6">
        <v>359740</v>
      </c>
      <c r="U97" s="6">
        <v>233871</v>
      </c>
      <c r="V97" s="6">
        <v>125869</v>
      </c>
    </row>
    <row r="98" spans="1:22" x14ac:dyDescent="0.25">
      <c r="A98">
        <v>2025</v>
      </c>
      <c r="B98" s="1" t="s">
        <v>20</v>
      </c>
      <c r="C98" t="s">
        <v>56</v>
      </c>
      <c r="D98" s="1" t="s">
        <v>502</v>
      </c>
      <c r="E98" t="s">
        <v>177</v>
      </c>
      <c r="F98" s="6">
        <v>164822</v>
      </c>
      <c r="G98" s="6">
        <v>130016</v>
      </c>
      <c r="H98" s="6">
        <v>28342</v>
      </c>
      <c r="I98" s="6">
        <v>101674</v>
      </c>
      <c r="J98" s="6">
        <v>34806</v>
      </c>
      <c r="K98" s="6">
        <v>16317</v>
      </c>
      <c r="L98" s="6">
        <v>152797</v>
      </c>
      <c r="M98">
        <v>267</v>
      </c>
      <c r="N98">
        <v>72</v>
      </c>
      <c r="O98">
        <v>339</v>
      </c>
      <c r="P98" s="6">
        <v>18600</v>
      </c>
      <c r="Q98" s="6">
        <v>0</v>
      </c>
      <c r="R98" s="6">
        <v>11240</v>
      </c>
      <c r="S98" s="6">
        <v>12427</v>
      </c>
      <c r="T98" s="6">
        <v>195403</v>
      </c>
      <c r="U98" s="6">
        <v>120541</v>
      </c>
      <c r="V98" s="6">
        <v>74862</v>
      </c>
    </row>
    <row r="99" spans="1:22" x14ac:dyDescent="0.25">
      <c r="A99">
        <v>2025</v>
      </c>
      <c r="B99" s="1" t="s">
        <v>13</v>
      </c>
      <c r="C99" t="s">
        <v>49</v>
      </c>
      <c r="D99" s="1" t="s">
        <v>503</v>
      </c>
      <c r="E99" t="s">
        <v>178</v>
      </c>
      <c r="F99" s="6">
        <v>119888</v>
      </c>
      <c r="G99" s="6">
        <v>90804</v>
      </c>
      <c r="H99" s="6">
        <v>19795</v>
      </c>
      <c r="I99" s="6">
        <v>71009</v>
      </c>
      <c r="J99" s="6">
        <v>29084</v>
      </c>
      <c r="K99" s="6">
        <v>11434</v>
      </c>
      <c r="L99" s="6">
        <v>111527</v>
      </c>
      <c r="M99">
        <v>238</v>
      </c>
      <c r="N99">
        <v>76</v>
      </c>
      <c r="O99">
        <v>314</v>
      </c>
      <c r="P99" s="6">
        <v>13002</v>
      </c>
      <c r="Q99" s="6">
        <v>0</v>
      </c>
      <c r="R99" s="6">
        <v>7909</v>
      </c>
      <c r="S99" s="6">
        <v>8810</v>
      </c>
      <c r="T99" s="6">
        <v>141562</v>
      </c>
      <c r="U99" s="6">
        <v>84248</v>
      </c>
      <c r="V99" s="6">
        <v>57314</v>
      </c>
    </row>
    <row r="100" spans="1:22" x14ac:dyDescent="0.25">
      <c r="A100">
        <v>2025</v>
      </c>
      <c r="B100" s="1" t="s">
        <v>16</v>
      </c>
      <c r="C100" t="s">
        <v>52</v>
      </c>
      <c r="D100" s="1" t="s">
        <v>504</v>
      </c>
      <c r="E100" t="s">
        <v>179</v>
      </c>
      <c r="F100" s="6">
        <v>218864</v>
      </c>
      <c r="G100" s="6">
        <v>172163</v>
      </c>
      <c r="H100" s="6">
        <v>37530</v>
      </c>
      <c r="I100" s="6">
        <v>134633</v>
      </c>
      <c r="J100" s="6">
        <v>46701</v>
      </c>
      <c r="K100" s="6">
        <v>3285</v>
      </c>
      <c r="L100" s="6">
        <v>184619</v>
      </c>
      <c r="M100">
        <v>294</v>
      </c>
      <c r="N100">
        <v>80</v>
      </c>
      <c r="O100">
        <v>374</v>
      </c>
      <c r="P100" s="6">
        <v>20411</v>
      </c>
      <c r="Q100" s="6">
        <v>0</v>
      </c>
      <c r="R100" s="6">
        <v>14053</v>
      </c>
      <c r="S100" s="6">
        <v>15362</v>
      </c>
      <c r="T100" s="6">
        <v>234819</v>
      </c>
      <c r="U100" s="6">
        <v>155338</v>
      </c>
      <c r="V100" s="6">
        <v>79481</v>
      </c>
    </row>
    <row r="101" spans="1:22" x14ac:dyDescent="0.25">
      <c r="A101">
        <v>2025</v>
      </c>
      <c r="B101" s="1" t="s">
        <v>21</v>
      </c>
      <c r="C101" t="s">
        <v>57</v>
      </c>
      <c r="D101" s="1" t="s">
        <v>505</v>
      </c>
      <c r="E101" t="s">
        <v>180</v>
      </c>
      <c r="F101" s="6">
        <v>297267</v>
      </c>
      <c r="G101" s="6">
        <v>236315</v>
      </c>
      <c r="H101" s="6">
        <v>51515</v>
      </c>
      <c r="I101" s="6">
        <v>184800</v>
      </c>
      <c r="J101" s="6">
        <v>60952</v>
      </c>
      <c r="K101" s="6">
        <v>10315</v>
      </c>
      <c r="L101" s="6">
        <v>256067</v>
      </c>
      <c r="M101">
        <v>548</v>
      </c>
      <c r="N101">
        <v>141</v>
      </c>
      <c r="O101">
        <v>689</v>
      </c>
      <c r="P101" s="6">
        <v>30514</v>
      </c>
      <c r="Q101" s="6">
        <v>0</v>
      </c>
      <c r="R101" s="6">
        <v>20661</v>
      </c>
      <c r="S101" s="6">
        <v>22714</v>
      </c>
      <c r="T101" s="6">
        <v>330645</v>
      </c>
      <c r="U101" s="6">
        <v>215862</v>
      </c>
      <c r="V101" s="6">
        <v>114783</v>
      </c>
    </row>
    <row r="102" spans="1:22" x14ac:dyDescent="0.25">
      <c r="A102">
        <v>2025</v>
      </c>
      <c r="B102" s="1" t="s">
        <v>13</v>
      </c>
      <c r="C102" t="s">
        <v>49</v>
      </c>
      <c r="D102" s="1" t="s">
        <v>506</v>
      </c>
      <c r="E102" t="s">
        <v>181</v>
      </c>
      <c r="F102" s="6">
        <v>148955</v>
      </c>
      <c r="G102" s="6">
        <v>112820</v>
      </c>
      <c r="H102" s="6">
        <v>24593</v>
      </c>
      <c r="I102" s="6">
        <v>88227</v>
      </c>
      <c r="J102" s="6">
        <v>36135</v>
      </c>
      <c r="K102">
        <v>0</v>
      </c>
      <c r="L102" s="6">
        <v>124362</v>
      </c>
      <c r="M102">
        <v>294</v>
      </c>
      <c r="N102">
        <v>95</v>
      </c>
      <c r="O102">
        <v>389</v>
      </c>
      <c r="P102" s="6">
        <v>14763</v>
      </c>
      <c r="Q102" s="6">
        <v>0</v>
      </c>
      <c r="R102" s="6">
        <v>10622</v>
      </c>
      <c r="S102" s="6">
        <v>11832</v>
      </c>
      <c r="T102" s="6">
        <v>161968</v>
      </c>
      <c r="U102" s="6">
        <v>103284</v>
      </c>
      <c r="V102" s="6">
        <v>58684</v>
      </c>
    </row>
    <row r="103" spans="1:22" x14ac:dyDescent="0.25">
      <c r="A103">
        <v>2025</v>
      </c>
      <c r="B103" s="1" t="s">
        <v>15</v>
      </c>
      <c r="C103" t="s">
        <v>51</v>
      </c>
      <c r="D103" s="1" t="s">
        <v>507</v>
      </c>
      <c r="E103" t="s">
        <v>182</v>
      </c>
      <c r="F103" s="6">
        <v>222670</v>
      </c>
      <c r="G103" s="6">
        <v>173961</v>
      </c>
      <c r="H103" s="6">
        <v>37921</v>
      </c>
      <c r="I103" s="6">
        <v>136040</v>
      </c>
      <c r="J103" s="6">
        <v>48709</v>
      </c>
      <c r="K103" s="6">
        <v>12831</v>
      </c>
      <c r="L103" s="6">
        <v>197580</v>
      </c>
      <c r="M103">
        <v>216</v>
      </c>
      <c r="N103">
        <v>60</v>
      </c>
      <c r="O103">
        <v>276</v>
      </c>
      <c r="P103" s="6">
        <v>28669</v>
      </c>
      <c r="Q103" s="6">
        <v>0</v>
      </c>
      <c r="R103" s="6">
        <v>14084</v>
      </c>
      <c r="S103" s="6">
        <v>15702</v>
      </c>
      <c r="T103" s="6">
        <v>256311</v>
      </c>
      <c r="U103" s="6">
        <v>164925</v>
      </c>
      <c r="V103" s="6">
        <v>91386</v>
      </c>
    </row>
    <row r="104" spans="1:22" x14ac:dyDescent="0.25">
      <c r="A104">
        <v>2025</v>
      </c>
      <c r="B104" s="1" t="s">
        <v>14</v>
      </c>
      <c r="C104" t="s">
        <v>50</v>
      </c>
      <c r="D104" s="1" t="s">
        <v>508</v>
      </c>
      <c r="E104" t="s">
        <v>183</v>
      </c>
      <c r="F104" s="6">
        <v>263162</v>
      </c>
      <c r="G104" s="6">
        <v>201725</v>
      </c>
      <c r="H104" s="6">
        <v>43974</v>
      </c>
      <c r="I104" s="6">
        <v>157751</v>
      </c>
      <c r="J104" s="6">
        <v>61437</v>
      </c>
      <c r="K104" s="6">
        <v>2104</v>
      </c>
      <c r="L104" s="6">
        <v>221292</v>
      </c>
      <c r="M104">
        <v>0</v>
      </c>
      <c r="N104">
        <v>0</v>
      </c>
      <c r="O104">
        <v>0</v>
      </c>
      <c r="P104" s="6">
        <v>28101</v>
      </c>
      <c r="Q104" s="6">
        <v>0</v>
      </c>
      <c r="R104" s="6">
        <v>18350</v>
      </c>
      <c r="S104" s="6">
        <v>20549</v>
      </c>
      <c r="T104" s="6">
        <v>288292</v>
      </c>
      <c r="U104" s="6">
        <v>185852</v>
      </c>
      <c r="V104" s="6">
        <v>102440</v>
      </c>
    </row>
    <row r="105" spans="1:22" x14ac:dyDescent="0.25">
      <c r="A105">
        <v>2025</v>
      </c>
      <c r="B105" s="1" t="s">
        <v>17</v>
      </c>
      <c r="C105" t="s">
        <v>53</v>
      </c>
      <c r="D105" s="1" t="s">
        <v>509</v>
      </c>
      <c r="E105" t="s">
        <v>184</v>
      </c>
      <c r="F105" s="6">
        <v>168319</v>
      </c>
      <c r="G105" s="6">
        <v>133148</v>
      </c>
      <c r="H105" s="6">
        <v>29025</v>
      </c>
      <c r="I105" s="6">
        <v>104123</v>
      </c>
      <c r="J105" s="6">
        <v>35171</v>
      </c>
      <c r="K105" s="6">
        <v>6867</v>
      </c>
      <c r="L105" s="6">
        <v>146161</v>
      </c>
      <c r="M105">
        <v>151</v>
      </c>
      <c r="N105">
        <v>40</v>
      </c>
      <c r="O105">
        <v>191</v>
      </c>
      <c r="P105" s="6">
        <v>16147</v>
      </c>
      <c r="Q105" s="6">
        <v>0</v>
      </c>
      <c r="R105" s="6">
        <v>11595</v>
      </c>
      <c r="S105" s="6">
        <v>12749</v>
      </c>
      <c r="T105" s="6">
        <v>186843</v>
      </c>
      <c r="U105" s="6">
        <v>120421</v>
      </c>
      <c r="V105" s="6">
        <v>66422</v>
      </c>
    </row>
    <row r="106" spans="1:22" x14ac:dyDescent="0.25">
      <c r="A106">
        <v>2025</v>
      </c>
      <c r="B106" s="1" t="s">
        <v>20</v>
      </c>
      <c r="C106" t="s">
        <v>56</v>
      </c>
      <c r="D106" s="1" t="s">
        <v>510</v>
      </c>
      <c r="E106" t="s">
        <v>185</v>
      </c>
      <c r="F106" s="6">
        <v>66118</v>
      </c>
      <c r="G106" s="6">
        <v>52156</v>
      </c>
      <c r="H106" s="6">
        <v>11369</v>
      </c>
      <c r="I106" s="6">
        <v>40787</v>
      </c>
      <c r="J106" s="6">
        <v>13962</v>
      </c>
      <c r="K106" s="6">
        <v>7027</v>
      </c>
      <c r="L106" s="6">
        <v>61776</v>
      </c>
      <c r="M106">
        <v>108</v>
      </c>
      <c r="N106">
        <v>29</v>
      </c>
      <c r="O106">
        <v>137</v>
      </c>
      <c r="P106" s="6">
        <v>7436</v>
      </c>
      <c r="Q106">
        <v>0</v>
      </c>
      <c r="R106" s="6">
        <v>4588</v>
      </c>
      <c r="S106" s="6">
        <v>5072</v>
      </c>
      <c r="T106" s="6">
        <v>79009</v>
      </c>
      <c r="U106" s="6">
        <v>48331</v>
      </c>
      <c r="V106" s="6">
        <v>30678</v>
      </c>
    </row>
    <row r="107" spans="1:22" x14ac:dyDescent="0.25">
      <c r="A107">
        <v>2025</v>
      </c>
      <c r="B107" s="1" t="s">
        <v>14</v>
      </c>
      <c r="C107" t="s">
        <v>50</v>
      </c>
      <c r="D107" s="1" t="s">
        <v>511</v>
      </c>
      <c r="E107" t="s">
        <v>186</v>
      </c>
      <c r="F107" s="6">
        <v>460065</v>
      </c>
      <c r="G107" s="6">
        <v>352661</v>
      </c>
      <c r="H107" s="6">
        <v>76876</v>
      </c>
      <c r="I107" s="6">
        <v>275785</v>
      </c>
      <c r="J107" s="6">
        <v>107404</v>
      </c>
      <c r="K107" s="6">
        <v>6949</v>
      </c>
      <c r="L107" s="6">
        <v>390138</v>
      </c>
      <c r="M107">
        <v>0</v>
      </c>
      <c r="N107">
        <v>0</v>
      </c>
      <c r="O107">
        <v>0</v>
      </c>
      <c r="P107" s="6">
        <v>49047</v>
      </c>
      <c r="Q107" s="6">
        <v>0</v>
      </c>
      <c r="R107" s="6">
        <v>29934</v>
      </c>
      <c r="S107" s="6">
        <v>33522</v>
      </c>
      <c r="T107" s="6">
        <v>502641</v>
      </c>
      <c r="U107" s="6">
        <v>324832</v>
      </c>
      <c r="V107" s="6">
        <v>177809</v>
      </c>
    </row>
    <row r="108" spans="1:22" x14ac:dyDescent="0.25">
      <c r="A108">
        <v>2025</v>
      </c>
      <c r="B108" s="1" t="s">
        <v>18</v>
      </c>
      <c r="C108" t="s">
        <v>54</v>
      </c>
      <c r="D108" s="1" t="s">
        <v>512</v>
      </c>
      <c r="E108" t="s">
        <v>187</v>
      </c>
      <c r="F108" s="6">
        <v>159049</v>
      </c>
      <c r="G108" s="6">
        <v>128488</v>
      </c>
      <c r="H108" s="6">
        <v>28009</v>
      </c>
      <c r="I108" s="6">
        <v>100479</v>
      </c>
      <c r="J108" s="6">
        <v>30561</v>
      </c>
      <c r="K108">
        <v>0</v>
      </c>
      <c r="L108" s="6">
        <v>131040</v>
      </c>
      <c r="M108">
        <v>0</v>
      </c>
      <c r="N108">
        <v>0</v>
      </c>
      <c r="O108">
        <v>0</v>
      </c>
      <c r="P108" s="6">
        <v>13615</v>
      </c>
      <c r="Q108" s="6">
        <v>0</v>
      </c>
      <c r="R108" s="6">
        <v>10607</v>
      </c>
      <c r="S108" s="6">
        <v>11654</v>
      </c>
      <c r="T108" s="6">
        <v>166916</v>
      </c>
      <c r="U108" s="6">
        <v>114094</v>
      </c>
      <c r="V108" s="6">
        <v>52822</v>
      </c>
    </row>
    <row r="109" spans="1:22" x14ac:dyDescent="0.25">
      <c r="A109">
        <v>2025</v>
      </c>
      <c r="B109" s="1" t="s">
        <v>21</v>
      </c>
      <c r="C109" t="s">
        <v>57</v>
      </c>
      <c r="D109" s="1" t="s">
        <v>513</v>
      </c>
      <c r="E109" t="s">
        <v>188</v>
      </c>
      <c r="F109" s="6">
        <v>600504</v>
      </c>
      <c r="G109" s="6">
        <v>477376</v>
      </c>
      <c r="H109" s="6">
        <v>104063</v>
      </c>
      <c r="I109" s="6">
        <v>373313</v>
      </c>
      <c r="J109" s="6">
        <v>123128</v>
      </c>
      <c r="K109" s="6">
        <v>5851</v>
      </c>
      <c r="L109" s="6">
        <v>502292</v>
      </c>
      <c r="M109" s="6">
        <v>1104</v>
      </c>
      <c r="N109">
        <v>285</v>
      </c>
      <c r="O109" s="6">
        <v>1389</v>
      </c>
      <c r="P109" s="6">
        <v>60863</v>
      </c>
      <c r="Q109" s="6">
        <v>0</v>
      </c>
      <c r="R109" s="6">
        <v>42749</v>
      </c>
      <c r="S109" s="6">
        <v>46998</v>
      </c>
      <c r="T109" s="6">
        <v>654291</v>
      </c>
      <c r="U109" s="6">
        <v>435281</v>
      </c>
      <c r="V109" s="6">
        <v>219010</v>
      </c>
    </row>
    <row r="110" spans="1:22" x14ac:dyDescent="0.25">
      <c r="A110">
        <v>2025</v>
      </c>
      <c r="B110" s="1" t="s">
        <v>15</v>
      </c>
      <c r="C110" t="s">
        <v>51</v>
      </c>
      <c r="D110" s="1" t="s">
        <v>514</v>
      </c>
      <c r="E110" t="s">
        <v>189</v>
      </c>
      <c r="F110" s="6">
        <v>423329</v>
      </c>
      <c r="G110" s="6">
        <v>330726</v>
      </c>
      <c r="H110" s="6">
        <v>72095</v>
      </c>
      <c r="I110" s="6">
        <v>258631</v>
      </c>
      <c r="J110" s="6">
        <v>92603</v>
      </c>
      <c r="K110" s="6">
        <v>0</v>
      </c>
      <c r="L110" s="6">
        <v>351234</v>
      </c>
      <c r="M110">
        <v>408</v>
      </c>
      <c r="N110">
        <v>114</v>
      </c>
      <c r="O110">
        <v>522</v>
      </c>
      <c r="P110" s="6">
        <v>52132</v>
      </c>
      <c r="Q110" s="6">
        <v>0</v>
      </c>
      <c r="R110" s="6">
        <v>27785</v>
      </c>
      <c r="S110" s="6">
        <v>30974</v>
      </c>
      <c r="T110" s="6">
        <v>462647</v>
      </c>
      <c r="U110" s="6">
        <v>311170</v>
      </c>
      <c r="V110" s="6">
        <v>151477</v>
      </c>
    </row>
    <row r="111" spans="1:22" x14ac:dyDescent="0.25">
      <c r="A111">
        <v>2025</v>
      </c>
      <c r="B111" s="1" t="s">
        <v>14</v>
      </c>
      <c r="C111" t="s">
        <v>50</v>
      </c>
      <c r="D111" s="1" t="s">
        <v>515</v>
      </c>
      <c r="E111" t="s">
        <v>190</v>
      </c>
      <c r="F111" s="6">
        <v>1434643</v>
      </c>
      <c r="G111" s="6">
        <v>1099718</v>
      </c>
      <c r="H111" s="6">
        <v>239727</v>
      </c>
      <c r="I111" s="6">
        <v>859991</v>
      </c>
      <c r="J111" s="6">
        <v>334925</v>
      </c>
      <c r="K111">
        <v>0</v>
      </c>
      <c r="L111" s="6">
        <v>1194916</v>
      </c>
      <c r="M111">
        <v>0</v>
      </c>
      <c r="N111">
        <v>0</v>
      </c>
      <c r="O111">
        <v>0</v>
      </c>
      <c r="P111" s="6">
        <v>151883</v>
      </c>
      <c r="Q111" s="6">
        <v>0</v>
      </c>
      <c r="R111" s="6">
        <v>105587</v>
      </c>
      <c r="S111" s="6">
        <v>118244</v>
      </c>
      <c r="T111" s="6">
        <v>1570630</v>
      </c>
      <c r="U111" s="6">
        <v>1011874</v>
      </c>
      <c r="V111" s="6">
        <v>558756</v>
      </c>
    </row>
    <row r="112" spans="1:22" x14ac:dyDescent="0.25">
      <c r="A112">
        <v>2025</v>
      </c>
      <c r="B112" s="1" t="s">
        <v>21</v>
      </c>
      <c r="C112" t="s">
        <v>57</v>
      </c>
      <c r="D112" s="1" t="s">
        <v>516</v>
      </c>
      <c r="E112" t="s">
        <v>191</v>
      </c>
      <c r="F112" s="6">
        <v>819446</v>
      </c>
      <c r="G112" s="6">
        <v>651426</v>
      </c>
      <c r="H112" s="6">
        <v>142004</v>
      </c>
      <c r="I112" s="6">
        <v>509422</v>
      </c>
      <c r="J112" s="6">
        <v>168020</v>
      </c>
      <c r="K112">
        <v>0</v>
      </c>
      <c r="L112" s="6">
        <v>677442</v>
      </c>
      <c r="M112" s="6">
        <v>1509</v>
      </c>
      <c r="N112">
        <v>390</v>
      </c>
      <c r="O112" s="6">
        <v>1899</v>
      </c>
      <c r="P112" s="6">
        <v>82417</v>
      </c>
      <c r="Q112" s="6">
        <v>0</v>
      </c>
      <c r="R112" s="6">
        <v>60200</v>
      </c>
      <c r="S112" s="6">
        <v>66183</v>
      </c>
      <c r="T112" s="6">
        <v>888141</v>
      </c>
      <c r="U112" s="6">
        <v>593349</v>
      </c>
      <c r="V112" s="6">
        <v>294792</v>
      </c>
    </row>
    <row r="113" spans="1:22" x14ac:dyDescent="0.25">
      <c r="A113">
        <v>2025</v>
      </c>
      <c r="B113" s="1" t="s">
        <v>20</v>
      </c>
      <c r="C113" t="s">
        <v>56</v>
      </c>
      <c r="D113" s="1" t="s">
        <v>517</v>
      </c>
      <c r="E113" t="s">
        <v>192</v>
      </c>
      <c r="F113" s="6">
        <v>175429</v>
      </c>
      <c r="G113" s="6">
        <v>138383</v>
      </c>
      <c r="H113" s="6">
        <v>30166</v>
      </c>
      <c r="I113" s="6">
        <v>108217</v>
      </c>
      <c r="J113" s="6">
        <v>37046</v>
      </c>
      <c r="K113">
        <v>0</v>
      </c>
      <c r="L113" s="6">
        <v>145263</v>
      </c>
      <c r="M113">
        <v>284</v>
      </c>
      <c r="N113">
        <v>75</v>
      </c>
      <c r="O113">
        <v>359</v>
      </c>
      <c r="P113" s="6">
        <v>18015</v>
      </c>
      <c r="Q113" s="6">
        <v>0</v>
      </c>
      <c r="R113" s="6">
        <v>11368</v>
      </c>
      <c r="S113" s="6">
        <v>12568</v>
      </c>
      <c r="T113" s="6">
        <v>187573</v>
      </c>
      <c r="U113" s="6">
        <v>126516</v>
      </c>
      <c r="V113" s="6">
        <v>61057</v>
      </c>
    </row>
    <row r="114" spans="1:22" x14ac:dyDescent="0.25">
      <c r="A114">
        <v>2025</v>
      </c>
      <c r="B114" s="1" t="s">
        <v>19</v>
      </c>
      <c r="C114" t="s">
        <v>55</v>
      </c>
      <c r="D114" s="1" t="s">
        <v>518</v>
      </c>
      <c r="E114" t="s">
        <v>193</v>
      </c>
      <c r="F114" s="6">
        <v>174608</v>
      </c>
      <c r="G114" s="6">
        <v>135138</v>
      </c>
      <c r="H114" s="6">
        <v>29458</v>
      </c>
      <c r="I114" s="6">
        <v>105680</v>
      </c>
      <c r="J114" s="6">
        <v>39470</v>
      </c>
      <c r="K114">
        <v>0</v>
      </c>
      <c r="L114" s="6">
        <v>145150</v>
      </c>
      <c r="M114">
        <v>257</v>
      </c>
      <c r="N114">
        <v>74</v>
      </c>
      <c r="O114">
        <v>331</v>
      </c>
      <c r="P114" s="6">
        <v>17603</v>
      </c>
      <c r="Q114" s="6">
        <v>0</v>
      </c>
      <c r="R114" s="6">
        <v>11904</v>
      </c>
      <c r="S114" s="6">
        <v>13327</v>
      </c>
      <c r="T114" s="6">
        <v>188315</v>
      </c>
      <c r="U114" s="6">
        <v>123539</v>
      </c>
      <c r="V114" s="6">
        <v>64776</v>
      </c>
    </row>
    <row r="115" spans="1:22" x14ac:dyDescent="0.25">
      <c r="A115">
        <v>2025</v>
      </c>
      <c r="B115" s="1" t="s">
        <v>15</v>
      </c>
      <c r="C115" t="s">
        <v>51</v>
      </c>
      <c r="D115" s="1" t="s">
        <v>519</v>
      </c>
      <c r="E115" t="s">
        <v>194</v>
      </c>
      <c r="F115" s="6">
        <v>323250</v>
      </c>
      <c r="G115" s="6">
        <v>252539</v>
      </c>
      <c r="H115" s="6">
        <v>55051</v>
      </c>
      <c r="I115" s="6">
        <v>197488</v>
      </c>
      <c r="J115" s="6">
        <v>70711</v>
      </c>
      <c r="K115" s="6">
        <v>12900</v>
      </c>
      <c r="L115" s="6">
        <v>281099</v>
      </c>
      <c r="M115">
        <v>311</v>
      </c>
      <c r="N115">
        <v>86</v>
      </c>
      <c r="O115">
        <v>397</v>
      </c>
      <c r="P115" s="6">
        <v>39808</v>
      </c>
      <c r="Q115" s="6">
        <v>0</v>
      </c>
      <c r="R115" s="6">
        <v>22689</v>
      </c>
      <c r="S115" s="6">
        <v>25294</v>
      </c>
      <c r="T115" s="6">
        <v>369287</v>
      </c>
      <c r="U115" s="6">
        <v>237607</v>
      </c>
      <c r="V115" s="6">
        <v>131680</v>
      </c>
    </row>
    <row r="116" spans="1:22" x14ac:dyDescent="0.25">
      <c r="A116">
        <v>2025</v>
      </c>
      <c r="B116" s="1" t="s">
        <v>19</v>
      </c>
      <c r="C116" t="s">
        <v>55</v>
      </c>
      <c r="D116" s="1" t="s">
        <v>520</v>
      </c>
      <c r="E116" t="s">
        <v>195</v>
      </c>
      <c r="F116" s="6">
        <v>177437</v>
      </c>
      <c r="G116" s="6">
        <v>137327</v>
      </c>
      <c r="H116" s="6">
        <v>29936</v>
      </c>
      <c r="I116" s="6">
        <v>107391</v>
      </c>
      <c r="J116" s="6">
        <v>40110</v>
      </c>
      <c r="K116">
        <v>0</v>
      </c>
      <c r="L116" s="6">
        <v>147501</v>
      </c>
      <c r="M116">
        <v>262</v>
      </c>
      <c r="N116">
        <v>76</v>
      </c>
      <c r="O116">
        <v>338</v>
      </c>
      <c r="P116" s="6">
        <v>17888</v>
      </c>
      <c r="Q116" s="6">
        <v>0</v>
      </c>
      <c r="R116" s="6">
        <v>11981</v>
      </c>
      <c r="S116" s="6">
        <v>13413</v>
      </c>
      <c r="T116" s="6">
        <v>191121</v>
      </c>
      <c r="U116" s="6">
        <v>125541</v>
      </c>
      <c r="V116" s="6">
        <v>65580</v>
      </c>
    </row>
    <row r="117" spans="1:22" x14ac:dyDescent="0.25">
      <c r="A117">
        <v>2025</v>
      </c>
      <c r="B117" s="1" t="s">
        <v>18</v>
      </c>
      <c r="C117" t="s">
        <v>54</v>
      </c>
      <c r="D117" s="1" t="s">
        <v>521</v>
      </c>
      <c r="E117" t="s">
        <v>196</v>
      </c>
      <c r="F117" s="6">
        <v>575781</v>
      </c>
      <c r="G117" s="6">
        <v>465145</v>
      </c>
      <c r="H117" s="6">
        <v>101397</v>
      </c>
      <c r="I117" s="6">
        <v>363748</v>
      </c>
      <c r="J117" s="6">
        <v>110636</v>
      </c>
      <c r="K117">
        <v>0</v>
      </c>
      <c r="L117" s="6">
        <v>474384</v>
      </c>
      <c r="M117">
        <v>0</v>
      </c>
      <c r="N117">
        <v>0</v>
      </c>
      <c r="O117">
        <v>0</v>
      </c>
      <c r="P117" s="6">
        <v>49288</v>
      </c>
      <c r="Q117" s="6">
        <v>0</v>
      </c>
      <c r="R117" s="6">
        <v>41893</v>
      </c>
      <c r="S117" s="6">
        <v>46030</v>
      </c>
      <c r="T117" s="6">
        <v>611595</v>
      </c>
      <c r="U117" s="6">
        <v>413036</v>
      </c>
      <c r="V117" s="6">
        <v>198559</v>
      </c>
    </row>
    <row r="118" spans="1:22" x14ac:dyDescent="0.25">
      <c r="A118">
        <v>2025</v>
      </c>
      <c r="B118" s="1" t="s">
        <v>14</v>
      </c>
      <c r="C118" t="s">
        <v>50</v>
      </c>
      <c r="D118" s="1" t="s">
        <v>522</v>
      </c>
      <c r="E118" t="s">
        <v>197</v>
      </c>
      <c r="F118" s="6">
        <v>66328</v>
      </c>
      <c r="G118" s="6">
        <v>50844</v>
      </c>
      <c r="H118" s="6">
        <v>11083</v>
      </c>
      <c r="I118" s="6">
        <v>39761</v>
      </c>
      <c r="J118" s="6">
        <v>15484</v>
      </c>
      <c r="K118" s="6">
        <v>7000</v>
      </c>
      <c r="L118" s="6">
        <v>62245</v>
      </c>
      <c r="M118">
        <v>0</v>
      </c>
      <c r="N118">
        <v>0</v>
      </c>
      <c r="O118">
        <v>0</v>
      </c>
      <c r="P118" s="6">
        <v>7768</v>
      </c>
      <c r="Q118">
        <v>0</v>
      </c>
      <c r="R118" s="6">
        <v>4203</v>
      </c>
      <c r="S118" s="6">
        <v>4707</v>
      </c>
      <c r="T118" s="6">
        <v>78923</v>
      </c>
      <c r="U118" s="6">
        <v>47529</v>
      </c>
      <c r="V118" s="6">
        <v>31394</v>
      </c>
    </row>
    <row r="119" spans="1:22" x14ac:dyDescent="0.25">
      <c r="A119">
        <v>2025</v>
      </c>
      <c r="B119" s="1" t="s">
        <v>15</v>
      </c>
      <c r="C119" t="s">
        <v>51</v>
      </c>
      <c r="D119" s="1" t="s">
        <v>523</v>
      </c>
      <c r="E119" t="s">
        <v>198</v>
      </c>
      <c r="F119" s="6">
        <v>245884</v>
      </c>
      <c r="G119" s="6">
        <v>192097</v>
      </c>
      <c r="H119" s="6">
        <v>41876</v>
      </c>
      <c r="I119" s="6">
        <v>150221</v>
      </c>
      <c r="J119" s="6">
        <v>53787</v>
      </c>
      <c r="K119">
        <v>0</v>
      </c>
      <c r="L119" s="6">
        <v>204008</v>
      </c>
      <c r="M119">
        <v>238</v>
      </c>
      <c r="N119">
        <v>66</v>
      </c>
      <c r="O119">
        <v>304</v>
      </c>
      <c r="P119" s="6">
        <v>30280</v>
      </c>
      <c r="Q119" s="6">
        <v>0</v>
      </c>
      <c r="R119" s="6">
        <v>15800</v>
      </c>
      <c r="S119" s="6">
        <v>17614</v>
      </c>
      <c r="T119" s="6">
        <v>268006</v>
      </c>
      <c r="U119" s="6">
        <v>180739</v>
      </c>
      <c r="V119" s="6">
        <v>87267</v>
      </c>
    </row>
    <row r="120" spans="1:22" x14ac:dyDescent="0.25">
      <c r="A120">
        <v>2025</v>
      </c>
      <c r="B120" s="1" t="s">
        <v>20</v>
      </c>
      <c r="C120" t="s">
        <v>56</v>
      </c>
      <c r="D120" s="1" t="s">
        <v>524</v>
      </c>
      <c r="E120" t="s">
        <v>199</v>
      </c>
      <c r="F120" s="6">
        <v>735228</v>
      </c>
      <c r="G120" s="6">
        <v>579968</v>
      </c>
      <c r="H120" s="6">
        <v>126428</v>
      </c>
      <c r="I120" s="6">
        <v>453540</v>
      </c>
      <c r="J120" s="6">
        <v>155260</v>
      </c>
      <c r="K120">
        <v>0</v>
      </c>
      <c r="L120" s="6">
        <v>608800</v>
      </c>
      <c r="M120" s="6">
        <v>1193</v>
      </c>
      <c r="N120">
        <v>320</v>
      </c>
      <c r="O120" s="6">
        <v>1513</v>
      </c>
      <c r="P120" s="6">
        <v>75503</v>
      </c>
      <c r="Q120" s="6">
        <v>0</v>
      </c>
      <c r="R120" s="6">
        <v>49752</v>
      </c>
      <c r="S120" s="6">
        <v>55007</v>
      </c>
      <c r="T120" s="6">
        <v>790575</v>
      </c>
      <c r="U120" s="6">
        <v>530237</v>
      </c>
      <c r="V120" s="6">
        <v>260338</v>
      </c>
    </row>
    <row r="121" spans="1:22" x14ac:dyDescent="0.25">
      <c r="A121">
        <v>2025</v>
      </c>
      <c r="B121" s="1" t="s">
        <v>18</v>
      </c>
      <c r="C121" t="s">
        <v>54</v>
      </c>
      <c r="D121" s="1" t="s">
        <v>525</v>
      </c>
      <c r="E121" t="s">
        <v>200</v>
      </c>
      <c r="F121" s="6">
        <v>114945</v>
      </c>
      <c r="G121" s="6">
        <v>92858</v>
      </c>
      <c r="H121" s="6">
        <v>20242</v>
      </c>
      <c r="I121" s="6">
        <v>72616</v>
      </c>
      <c r="J121" s="6">
        <v>22087</v>
      </c>
      <c r="K121">
        <v>0</v>
      </c>
      <c r="L121" s="6">
        <v>94703</v>
      </c>
      <c r="M121">
        <v>0</v>
      </c>
      <c r="N121">
        <v>0</v>
      </c>
      <c r="O121">
        <v>0</v>
      </c>
      <c r="P121" s="6">
        <v>9840</v>
      </c>
      <c r="Q121" s="6">
        <v>0</v>
      </c>
      <c r="R121" s="6">
        <v>8241</v>
      </c>
      <c r="S121" s="6">
        <v>9055</v>
      </c>
      <c r="T121" s="6">
        <v>121839</v>
      </c>
      <c r="U121" s="6">
        <v>82456</v>
      </c>
      <c r="V121" s="6">
        <v>39383</v>
      </c>
    </row>
    <row r="122" spans="1:22" x14ac:dyDescent="0.25">
      <c r="A122">
        <v>2025</v>
      </c>
      <c r="B122" s="1" t="s">
        <v>15</v>
      </c>
      <c r="C122" t="s">
        <v>51</v>
      </c>
      <c r="D122" s="1" t="s">
        <v>526</v>
      </c>
      <c r="E122" t="s">
        <v>201</v>
      </c>
      <c r="F122" s="6">
        <v>94722</v>
      </c>
      <c r="G122" s="6">
        <v>74002</v>
      </c>
      <c r="H122" s="6">
        <v>16132</v>
      </c>
      <c r="I122" s="6">
        <v>57870</v>
      </c>
      <c r="J122" s="6">
        <v>20720</v>
      </c>
      <c r="K122" s="6">
        <v>10653</v>
      </c>
      <c r="L122" s="6">
        <v>89243</v>
      </c>
      <c r="M122">
        <v>92</v>
      </c>
      <c r="N122">
        <v>26</v>
      </c>
      <c r="O122">
        <v>118</v>
      </c>
      <c r="P122" s="6">
        <v>11759</v>
      </c>
      <c r="Q122" s="6">
        <v>0</v>
      </c>
      <c r="R122" s="6">
        <v>6376</v>
      </c>
      <c r="S122" s="6">
        <v>7108</v>
      </c>
      <c r="T122" s="6">
        <v>114604</v>
      </c>
      <c r="U122" s="6">
        <v>69720</v>
      </c>
      <c r="V122" s="6">
        <v>44884</v>
      </c>
    </row>
    <row r="123" spans="1:22" x14ac:dyDescent="0.25">
      <c r="A123">
        <v>2025</v>
      </c>
      <c r="B123" s="1" t="s">
        <v>14</v>
      </c>
      <c r="C123" t="s">
        <v>50</v>
      </c>
      <c r="D123" s="1" t="s">
        <v>527</v>
      </c>
      <c r="E123" t="s">
        <v>202</v>
      </c>
      <c r="F123" s="6">
        <v>144668</v>
      </c>
      <c r="G123" s="6">
        <v>110894</v>
      </c>
      <c r="H123" s="6">
        <v>24174</v>
      </c>
      <c r="I123" s="6">
        <v>86720</v>
      </c>
      <c r="J123" s="6">
        <v>33774</v>
      </c>
      <c r="K123">
        <v>0</v>
      </c>
      <c r="L123" s="6">
        <v>120494</v>
      </c>
      <c r="M123">
        <v>0</v>
      </c>
      <c r="N123">
        <v>0</v>
      </c>
      <c r="O123">
        <v>0</v>
      </c>
      <c r="P123" s="6">
        <v>15316</v>
      </c>
      <c r="Q123" s="6">
        <v>0</v>
      </c>
      <c r="R123" s="6">
        <v>9790</v>
      </c>
      <c r="S123" s="6">
        <v>10964</v>
      </c>
      <c r="T123" s="6">
        <v>156564</v>
      </c>
      <c r="U123" s="6">
        <v>102036</v>
      </c>
      <c r="V123" s="6">
        <v>54528</v>
      </c>
    </row>
    <row r="124" spans="1:22" x14ac:dyDescent="0.25">
      <c r="A124">
        <v>2025</v>
      </c>
      <c r="B124" s="1" t="s">
        <v>14</v>
      </c>
      <c r="C124" t="s">
        <v>50</v>
      </c>
      <c r="D124" s="1" t="s">
        <v>528</v>
      </c>
      <c r="E124" t="s">
        <v>203</v>
      </c>
      <c r="F124" s="6">
        <v>471333</v>
      </c>
      <c r="G124" s="6">
        <v>361298</v>
      </c>
      <c r="H124" s="6">
        <v>78759</v>
      </c>
      <c r="I124" s="6">
        <v>282539</v>
      </c>
      <c r="J124" s="6">
        <v>110035</v>
      </c>
      <c r="K124">
        <v>0</v>
      </c>
      <c r="L124" s="6">
        <v>392574</v>
      </c>
      <c r="M124">
        <v>0</v>
      </c>
      <c r="N124">
        <v>0</v>
      </c>
      <c r="O124">
        <v>0</v>
      </c>
      <c r="P124" s="6">
        <v>49899</v>
      </c>
      <c r="Q124" s="6">
        <v>0</v>
      </c>
      <c r="R124" s="6">
        <v>30523</v>
      </c>
      <c r="S124" s="6">
        <v>34182</v>
      </c>
      <c r="T124" s="6">
        <v>507178</v>
      </c>
      <c r="U124" s="6">
        <v>332438</v>
      </c>
      <c r="V124" s="6">
        <v>174740</v>
      </c>
    </row>
    <row r="125" spans="1:22" x14ac:dyDescent="0.25">
      <c r="A125">
        <v>2025</v>
      </c>
      <c r="B125" s="1" t="s">
        <v>15</v>
      </c>
      <c r="C125" t="s">
        <v>51</v>
      </c>
      <c r="D125" s="1" t="s">
        <v>529</v>
      </c>
      <c r="E125" t="s">
        <v>204</v>
      </c>
      <c r="F125" s="6">
        <v>598545</v>
      </c>
      <c r="G125" s="6">
        <v>467613</v>
      </c>
      <c r="H125" s="6">
        <v>101935</v>
      </c>
      <c r="I125" s="6">
        <v>365678</v>
      </c>
      <c r="J125" s="6">
        <v>130932</v>
      </c>
      <c r="K125">
        <v>0</v>
      </c>
      <c r="L125" s="6">
        <v>496610</v>
      </c>
      <c r="M125">
        <v>578</v>
      </c>
      <c r="N125">
        <v>162</v>
      </c>
      <c r="O125">
        <v>740</v>
      </c>
      <c r="P125" s="6">
        <v>73710</v>
      </c>
      <c r="Q125" s="6">
        <v>0</v>
      </c>
      <c r="R125" s="6">
        <v>39641</v>
      </c>
      <c r="S125" s="6">
        <v>44192</v>
      </c>
      <c r="T125" s="6">
        <v>654893</v>
      </c>
      <c r="U125" s="6">
        <v>439966</v>
      </c>
      <c r="V125" s="6">
        <v>214927</v>
      </c>
    </row>
    <row r="126" spans="1:22" x14ac:dyDescent="0.25">
      <c r="A126">
        <v>2025</v>
      </c>
      <c r="B126" s="1" t="s">
        <v>20</v>
      </c>
      <c r="C126" t="s">
        <v>56</v>
      </c>
      <c r="D126" s="1" t="s">
        <v>530</v>
      </c>
      <c r="E126" t="s">
        <v>205</v>
      </c>
      <c r="F126" s="6">
        <v>190633</v>
      </c>
      <c r="G126" s="6">
        <v>150377</v>
      </c>
      <c r="H126" s="6">
        <v>32780</v>
      </c>
      <c r="I126" s="6">
        <v>117597</v>
      </c>
      <c r="J126" s="6">
        <v>40256</v>
      </c>
      <c r="K126" s="6">
        <v>0</v>
      </c>
      <c r="L126" s="6">
        <v>157853</v>
      </c>
      <c r="M126">
        <v>311</v>
      </c>
      <c r="N126">
        <v>83</v>
      </c>
      <c r="O126">
        <v>394</v>
      </c>
      <c r="P126" s="6">
        <v>19577</v>
      </c>
      <c r="Q126" s="6">
        <v>0</v>
      </c>
      <c r="R126" s="6">
        <v>11724</v>
      </c>
      <c r="S126" s="6">
        <v>12963</v>
      </c>
      <c r="T126" s="6">
        <v>202511</v>
      </c>
      <c r="U126" s="6">
        <v>137484</v>
      </c>
      <c r="V126" s="6">
        <v>65027</v>
      </c>
    </row>
    <row r="127" spans="1:22" x14ac:dyDescent="0.25">
      <c r="A127">
        <v>2025</v>
      </c>
      <c r="B127" s="1" t="s">
        <v>15</v>
      </c>
      <c r="C127" t="s">
        <v>51</v>
      </c>
      <c r="D127" s="1" t="s">
        <v>531</v>
      </c>
      <c r="E127" t="s">
        <v>206</v>
      </c>
      <c r="F127" s="6">
        <v>261616</v>
      </c>
      <c r="G127" s="6">
        <v>204387</v>
      </c>
      <c r="H127" s="6">
        <v>44555</v>
      </c>
      <c r="I127" s="6">
        <v>159832</v>
      </c>
      <c r="J127" s="6">
        <v>57229</v>
      </c>
      <c r="K127">
        <v>0</v>
      </c>
      <c r="L127" s="6">
        <v>217061</v>
      </c>
      <c r="M127">
        <v>251</v>
      </c>
      <c r="N127">
        <v>70</v>
      </c>
      <c r="O127">
        <v>321</v>
      </c>
      <c r="P127" s="6">
        <v>32217</v>
      </c>
      <c r="Q127" s="6">
        <v>0</v>
      </c>
      <c r="R127" s="6">
        <v>17362</v>
      </c>
      <c r="S127" s="6">
        <v>19356</v>
      </c>
      <c r="T127" s="6">
        <v>286317</v>
      </c>
      <c r="U127" s="6">
        <v>192300</v>
      </c>
      <c r="V127" s="6">
        <v>94017</v>
      </c>
    </row>
    <row r="128" spans="1:22" x14ac:dyDescent="0.25">
      <c r="A128">
        <v>2025</v>
      </c>
      <c r="B128" s="1" t="s">
        <v>18</v>
      </c>
      <c r="C128" t="s">
        <v>54</v>
      </c>
      <c r="D128" s="1" t="s">
        <v>532</v>
      </c>
      <c r="E128" t="s">
        <v>207</v>
      </c>
      <c r="F128" s="6">
        <v>146890</v>
      </c>
      <c r="G128" s="6">
        <v>118665</v>
      </c>
      <c r="H128" s="6">
        <v>25867</v>
      </c>
      <c r="I128" s="6">
        <v>92798</v>
      </c>
      <c r="J128" s="6">
        <v>28225</v>
      </c>
      <c r="K128" s="6">
        <v>2990</v>
      </c>
      <c r="L128" s="6">
        <v>124013</v>
      </c>
      <c r="M128">
        <v>0</v>
      </c>
      <c r="N128">
        <v>0</v>
      </c>
      <c r="O128">
        <v>0</v>
      </c>
      <c r="P128" s="6">
        <v>12574</v>
      </c>
      <c r="Q128" s="6">
        <v>0</v>
      </c>
      <c r="R128" s="6">
        <v>10047</v>
      </c>
      <c r="S128" s="6">
        <v>11040</v>
      </c>
      <c r="T128" s="6">
        <v>157674</v>
      </c>
      <c r="U128" s="6">
        <v>105372</v>
      </c>
      <c r="V128" s="6">
        <v>52302</v>
      </c>
    </row>
    <row r="129" spans="1:22" x14ac:dyDescent="0.25">
      <c r="A129">
        <v>2025</v>
      </c>
      <c r="B129" s="1" t="s">
        <v>20</v>
      </c>
      <c r="C129" t="s">
        <v>56</v>
      </c>
      <c r="D129" s="1" t="s">
        <v>533</v>
      </c>
      <c r="E129" t="s">
        <v>208</v>
      </c>
      <c r="F129" s="6">
        <v>82181</v>
      </c>
      <c r="G129" s="6">
        <v>64827</v>
      </c>
      <c r="H129" s="6">
        <v>14131</v>
      </c>
      <c r="I129" s="6">
        <v>50696</v>
      </c>
      <c r="J129" s="6">
        <v>17354</v>
      </c>
      <c r="K129" s="6">
        <v>3565</v>
      </c>
      <c r="L129" s="6">
        <v>71615</v>
      </c>
      <c r="M129">
        <v>132</v>
      </c>
      <c r="N129">
        <v>36</v>
      </c>
      <c r="O129">
        <v>168</v>
      </c>
      <c r="P129" s="6">
        <v>8805</v>
      </c>
      <c r="Q129">
        <v>0</v>
      </c>
      <c r="R129" s="6">
        <v>5302</v>
      </c>
      <c r="S129" s="6">
        <v>5862</v>
      </c>
      <c r="T129" s="6">
        <v>91752</v>
      </c>
      <c r="U129" s="6">
        <v>59633</v>
      </c>
      <c r="V129" s="6">
        <v>32119</v>
      </c>
    </row>
    <row r="130" spans="1:22" x14ac:dyDescent="0.25">
      <c r="A130">
        <v>2025</v>
      </c>
      <c r="B130" s="1" t="s">
        <v>15</v>
      </c>
      <c r="C130" t="s">
        <v>51</v>
      </c>
      <c r="D130" s="1" t="s">
        <v>534</v>
      </c>
      <c r="E130" t="s">
        <v>209</v>
      </c>
      <c r="F130" s="6">
        <v>428990</v>
      </c>
      <c r="G130" s="6">
        <v>335148</v>
      </c>
      <c r="H130" s="6">
        <v>73060</v>
      </c>
      <c r="I130" s="6">
        <v>262088</v>
      </c>
      <c r="J130" s="6">
        <v>93842</v>
      </c>
      <c r="K130">
        <v>0</v>
      </c>
      <c r="L130" s="6">
        <v>355930</v>
      </c>
      <c r="M130">
        <v>413</v>
      </c>
      <c r="N130">
        <v>116</v>
      </c>
      <c r="O130">
        <v>529</v>
      </c>
      <c r="P130" s="6">
        <v>52829</v>
      </c>
      <c r="Q130" s="6">
        <v>0</v>
      </c>
      <c r="R130" s="6">
        <v>28220</v>
      </c>
      <c r="S130" s="6">
        <v>31460</v>
      </c>
      <c r="T130" s="6">
        <v>468968</v>
      </c>
      <c r="U130" s="6">
        <v>315330</v>
      </c>
      <c r="V130" s="6">
        <v>153638</v>
      </c>
    </row>
    <row r="131" spans="1:22" x14ac:dyDescent="0.25">
      <c r="A131">
        <v>2025</v>
      </c>
      <c r="B131" s="1" t="s">
        <v>20</v>
      </c>
      <c r="C131" t="s">
        <v>56</v>
      </c>
      <c r="D131" s="1" t="s">
        <v>535</v>
      </c>
      <c r="E131" t="s">
        <v>210</v>
      </c>
      <c r="F131" s="6">
        <v>526810</v>
      </c>
      <c r="G131" s="6">
        <v>415562</v>
      </c>
      <c r="H131" s="6">
        <v>90588</v>
      </c>
      <c r="I131" s="6">
        <v>324974</v>
      </c>
      <c r="J131" s="6">
        <v>111248</v>
      </c>
      <c r="K131">
        <v>0</v>
      </c>
      <c r="L131" s="6">
        <v>436222</v>
      </c>
      <c r="M131">
        <v>856</v>
      </c>
      <c r="N131">
        <v>229</v>
      </c>
      <c r="O131" s="6">
        <v>1085</v>
      </c>
      <c r="P131" s="6">
        <v>54100</v>
      </c>
      <c r="Q131" s="6">
        <v>0</v>
      </c>
      <c r="R131" s="6">
        <v>36575</v>
      </c>
      <c r="S131" s="6">
        <v>40438</v>
      </c>
      <c r="T131" s="6">
        <v>568420</v>
      </c>
      <c r="U131" s="6">
        <v>379930</v>
      </c>
      <c r="V131" s="6">
        <v>188490</v>
      </c>
    </row>
    <row r="132" spans="1:22" x14ac:dyDescent="0.25">
      <c r="A132">
        <v>2025</v>
      </c>
      <c r="B132" s="1" t="s">
        <v>14</v>
      </c>
      <c r="C132" t="s">
        <v>50</v>
      </c>
      <c r="D132" s="1" t="s">
        <v>536</v>
      </c>
      <c r="E132" t="s">
        <v>211</v>
      </c>
      <c r="F132" s="6">
        <v>117152</v>
      </c>
      <c r="G132" s="6">
        <v>89802</v>
      </c>
      <c r="H132" s="6">
        <v>19576</v>
      </c>
      <c r="I132" s="6">
        <v>70226</v>
      </c>
      <c r="J132" s="6">
        <v>27350</v>
      </c>
      <c r="K132">
        <v>0</v>
      </c>
      <c r="L132" s="6">
        <v>97576</v>
      </c>
      <c r="M132">
        <v>0</v>
      </c>
      <c r="N132">
        <v>0</v>
      </c>
      <c r="O132">
        <v>0</v>
      </c>
      <c r="P132" s="6">
        <v>12403</v>
      </c>
      <c r="Q132" s="6">
        <v>0</v>
      </c>
      <c r="R132" s="6">
        <v>7637</v>
      </c>
      <c r="S132" s="6">
        <v>8553</v>
      </c>
      <c r="T132" s="6">
        <v>126169</v>
      </c>
      <c r="U132" s="6">
        <v>82629</v>
      </c>
      <c r="V132" s="6">
        <v>43540</v>
      </c>
    </row>
    <row r="133" spans="1:22" x14ac:dyDescent="0.25">
      <c r="A133">
        <v>2025</v>
      </c>
      <c r="B133" s="1" t="s">
        <v>19</v>
      </c>
      <c r="C133" t="s">
        <v>55</v>
      </c>
      <c r="D133" s="1" t="s">
        <v>537</v>
      </c>
      <c r="E133" t="s">
        <v>212</v>
      </c>
      <c r="F133" s="6">
        <v>262207</v>
      </c>
      <c r="G133" s="6">
        <v>202935</v>
      </c>
      <c r="H133" s="6">
        <v>44238</v>
      </c>
      <c r="I133" s="6">
        <v>158697</v>
      </c>
      <c r="J133" s="6">
        <v>59272</v>
      </c>
      <c r="K133">
        <v>0</v>
      </c>
      <c r="L133" s="6">
        <v>217969</v>
      </c>
      <c r="M133">
        <v>386</v>
      </c>
      <c r="N133">
        <v>113</v>
      </c>
      <c r="O133">
        <v>499</v>
      </c>
      <c r="P133" s="6">
        <v>26434</v>
      </c>
      <c r="Q133" s="6">
        <v>0</v>
      </c>
      <c r="R133" s="6">
        <v>19712</v>
      </c>
      <c r="S133" s="6">
        <v>22068</v>
      </c>
      <c r="T133" s="6">
        <v>286682</v>
      </c>
      <c r="U133" s="6">
        <v>185517</v>
      </c>
      <c r="V133" s="6">
        <v>101165</v>
      </c>
    </row>
    <row r="134" spans="1:22" x14ac:dyDescent="0.25">
      <c r="A134">
        <v>2025</v>
      </c>
      <c r="B134" s="1" t="s">
        <v>17</v>
      </c>
      <c r="C134" t="s">
        <v>53</v>
      </c>
      <c r="D134" s="1" t="s">
        <v>538</v>
      </c>
      <c r="E134" t="s">
        <v>213</v>
      </c>
      <c r="F134" s="6">
        <v>222902</v>
      </c>
      <c r="G134" s="6">
        <v>176326</v>
      </c>
      <c r="H134" s="6">
        <v>38437</v>
      </c>
      <c r="I134" s="6">
        <v>137889</v>
      </c>
      <c r="J134" s="6">
        <v>46576</v>
      </c>
      <c r="K134">
        <v>0</v>
      </c>
      <c r="L134" s="6">
        <v>184465</v>
      </c>
      <c r="M134">
        <v>200</v>
      </c>
      <c r="N134">
        <v>53</v>
      </c>
      <c r="O134">
        <v>253</v>
      </c>
      <c r="P134" s="6">
        <v>21146</v>
      </c>
      <c r="Q134" s="6">
        <v>0</v>
      </c>
      <c r="R134" s="6">
        <v>15341</v>
      </c>
      <c r="S134" s="6">
        <v>16868</v>
      </c>
      <c r="T134" s="6">
        <v>238073</v>
      </c>
      <c r="U134" s="6">
        <v>159235</v>
      </c>
      <c r="V134" s="6">
        <v>78838</v>
      </c>
    </row>
    <row r="135" spans="1:22" x14ac:dyDescent="0.25">
      <c r="A135">
        <v>2025</v>
      </c>
      <c r="B135" s="1" t="s">
        <v>19</v>
      </c>
      <c r="C135" t="s">
        <v>55</v>
      </c>
      <c r="D135" s="1" t="s">
        <v>539</v>
      </c>
      <c r="E135" t="s">
        <v>214</v>
      </c>
      <c r="F135" s="6">
        <v>215128</v>
      </c>
      <c r="G135" s="6">
        <v>166498</v>
      </c>
      <c r="H135" s="6">
        <v>36296</v>
      </c>
      <c r="I135" s="6">
        <v>130202</v>
      </c>
      <c r="J135" s="6">
        <v>48630</v>
      </c>
      <c r="K135">
        <v>0</v>
      </c>
      <c r="L135" s="6">
        <v>178832</v>
      </c>
      <c r="M135">
        <v>316</v>
      </c>
      <c r="N135">
        <v>92</v>
      </c>
      <c r="O135">
        <v>408</v>
      </c>
      <c r="P135" s="6">
        <v>21688</v>
      </c>
      <c r="Q135" s="6">
        <v>0</v>
      </c>
      <c r="R135" s="6">
        <v>14592</v>
      </c>
      <c r="S135" s="6">
        <v>16336</v>
      </c>
      <c r="T135" s="6">
        <v>231856</v>
      </c>
      <c r="U135" s="6">
        <v>152206</v>
      </c>
      <c r="V135" s="6">
        <v>79650</v>
      </c>
    </row>
    <row r="136" spans="1:22" x14ac:dyDescent="0.25">
      <c r="A136">
        <v>2025</v>
      </c>
      <c r="B136" s="1" t="s">
        <v>17</v>
      </c>
      <c r="C136" t="s">
        <v>53</v>
      </c>
      <c r="D136" s="1" t="s">
        <v>540</v>
      </c>
      <c r="E136" t="s">
        <v>215</v>
      </c>
      <c r="F136" s="6">
        <v>119732</v>
      </c>
      <c r="G136" s="6">
        <v>94713</v>
      </c>
      <c r="H136" s="6">
        <v>20647</v>
      </c>
      <c r="I136" s="6">
        <v>74066</v>
      </c>
      <c r="J136" s="6">
        <v>25019</v>
      </c>
      <c r="K136" s="6">
        <v>964</v>
      </c>
      <c r="L136" s="6">
        <v>100049</v>
      </c>
      <c r="M136">
        <v>108</v>
      </c>
      <c r="N136">
        <v>29</v>
      </c>
      <c r="O136">
        <v>137</v>
      </c>
      <c r="P136" s="6">
        <v>11359</v>
      </c>
      <c r="Q136" s="6">
        <v>0</v>
      </c>
      <c r="R136" s="6">
        <v>8206</v>
      </c>
      <c r="S136" s="6">
        <v>9022</v>
      </c>
      <c r="T136" s="6">
        <v>128773</v>
      </c>
      <c r="U136" s="6">
        <v>85533</v>
      </c>
      <c r="V136" s="6">
        <v>43240</v>
      </c>
    </row>
    <row r="137" spans="1:22" x14ac:dyDescent="0.25">
      <c r="A137">
        <v>2025</v>
      </c>
      <c r="B137" s="1" t="s">
        <v>13</v>
      </c>
      <c r="C137" t="s">
        <v>49</v>
      </c>
      <c r="D137" s="1" t="s">
        <v>541</v>
      </c>
      <c r="E137" t="s">
        <v>216</v>
      </c>
      <c r="F137" s="6">
        <v>464283</v>
      </c>
      <c r="G137" s="6">
        <v>351651</v>
      </c>
      <c r="H137" s="6">
        <v>76657</v>
      </c>
      <c r="I137" s="6">
        <v>274994</v>
      </c>
      <c r="J137" s="6">
        <v>112632</v>
      </c>
      <c r="K137">
        <v>0</v>
      </c>
      <c r="L137" s="6">
        <v>387626</v>
      </c>
      <c r="M137">
        <v>921</v>
      </c>
      <c r="N137">
        <v>295</v>
      </c>
      <c r="O137" s="6">
        <v>1216</v>
      </c>
      <c r="P137" s="6">
        <v>46014</v>
      </c>
      <c r="Q137" s="6">
        <v>0</v>
      </c>
      <c r="R137" s="6">
        <v>32200</v>
      </c>
      <c r="S137" s="6">
        <v>35868</v>
      </c>
      <c r="T137" s="6">
        <v>502924</v>
      </c>
      <c r="U137" s="6">
        <v>321928</v>
      </c>
      <c r="V137" s="6">
        <v>180996</v>
      </c>
    </row>
    <row r="138" spans="1:22" x14ac:dyDescent="0.25">
      <c r="A138">
        <v>2025</v>
      </c>
      <c r="B138" s="1" t="s">
        <v>15</v>
      </c>
      <c r="C138" t="s">
        <v>51</v>
      </c>
      <c r="D138" s="1" t="s">
        <v>542</v>
      </c>
      <c r="E138" t="s">
        <v>217</v>
      </c>
      <c r="F138" s="6">
        <v>156235</v>
      </c>
      <c r="G138" s="6">
        <v>122059</v>
      </c>
      <c r="H138" s="6">
        <v>26607</v>
      </c>
      <c r="I138" s="6">
        <v>95452</v>
      </c>
      <c r="J138" s="6">
        <v>34176</v>
      </c>
      <c r="K138">
        <v>0</v>
      </c>
      <c r="L138" s="6">
        <v>129628</v>
      </c>
      <c r="M138">
        <v>151</v>
      </c>
      <c r="N138">
        <v>43</v>
      </c>
      <c r="O138">
        <v>194</v>
      </c>
      <c r="P138" s="6">
        <v>19240</v>
      </c>
      <c r="Q138" s="6">
        <v>0</v>
      </c>
      <c r="R138" s="6">
        <v>10525</v>
      </c>
      <c r="S138" s="6">
        <v>11733</v>
      </c>
      <c r="T138" s="6">
        <v>171320</v>
      </c>
      <c r="U138" s="6">
        <v>114843</v>
      </c>
      <c r="V138" s="6">
        <v>56477</v>
      </c>
    </row>
    <row r="139" spans="1:22" x14ac:dyDescent="0.25">
      <c r="A139">
        <v>2025</v>
      </c>
      <c r="B139" s="1" t="s">
        <v>15</v>
      </c>
      <c r="C139" t="s">
        <v>51</v>
      </c>
      <c r="D139" s="1" t="s">
        <v>543</v>
      </c>
      <c r="E139" t="s">
        <v>218</v>
      </c>
      <c r="F139" s="6">
        <v>280347</v>
      </c>
      <c r="G139" s="6">
        <v>219021</v>
      </c>
      <c r="H139" s="6">
        <v>47745</v>
      </c>
      <c r="I139" s="6">
        <v>171276</v>
      </c>
      <c r="J139" s="6">
        <v>61326</v>
      </c>
      <c r="K139">
        <v>0</v>
      </c>
      <c r="L139" s="6">
        <v>232602</v>
      </c>
      <c r="M139">
        <v>270</v>
      </c>
      <c r="N139">
        <v>76</v>
      </c>
      <c r="O139">
        <v>346</v>
      </c>
      <c r="P139" s="6">
        <v>34524</v>
      </c>
      <c r="Q139" s="6">
        <v>0</v>
      </c>
      <c r="R139" s="6">
        <v>19078</v>
      </c>
      <c r="S139" s="6">
        <v>21268</v>
      </c>
      <c r="T139" s="6">
        <v>307818</v>
      </c>
      <c r="U139" s="6">
        <v>206070</v>
      </c>
      <c r="V139" s="6">
        <v>101748</v>
      </c>
    </row>
    <row r="140" spans="1:22" x14ac:dyDescent="0.25">
      <c r="A140">
        <v>2025</v>
      </c>
      <c r="B140" s="1" t="s">
        <v>14</v>
      </c>
      <c r="C140" t="s">
        <v>50</v>
      </c>
      <c r="D140" s="1" t="s">
        <v>544</v>
      </c>
      <c r="E140" t="s">
        <v>219</v>
      </c>
      <c r="F140" s="6">
        <v>472344</v>
      </c>
      <c r="G140" s="6">
        <v>362073</v>
      </c>
      <c r="H140" s="6">
        <v>78928</v>
      </c>
      <c r="I140" s="6">
        <v>283145</v>
      </c>
      <c r="J140" s="6">
        <v>110271</v>
      </c>
      <c r="K140" s="6">
        <v>4924</v>
      </c>
      <c r="L140" s="6">
        <v>398340</v>
      </c>
      <c r="M140">
        <v>0</v>
      </c>
      <c r="N140">
        <v>0</v>
      </c>
      <c r="O140">
        <v>0</v>
      </c>
      <c r="P140" s="6">
        <v>50559</v>
      </c>
      <c r="Q140" s="6">
        <v>0</v>
      </c>
      <c r="R140" s="6">
        <v>34213</v>
      </c>
      <c r="S140" s="6">
        <v>38314</v>
      </c>
      <c r="T140" s="6">
        <v>521426</v>
      </c>
      <c r="U140" s="6">
        <v>333704</v>
      </c>
      <c r="V140" s="6">
        <v>187722</v>
      </c>
    </row>
    <row r="141" spans="1:22" x14ac:dyDescent="0.25">
      <c r="A141">
        <v>2025</v>
      </c>
      <c r="B141" s="1" t="s">
        <v>20</v>
      </c>
      <c r="C141" t="s">
        <v>56</v>
      </c>
      <c r="D141" s="1" t="s">
        <v>545</v>
      </c>
      <c r="E141" t="s">
        <v>220</v>
      </c>
      <c r="F141" s="6">
        <v>265363</v>
      </c>
      <c r="G141" s="6">
        <v>209326</v>
      </c>
      <c r="H141" s="6">
        <v>45630</v>
      </c>
      <c r="I141" s="6">
        <v>163696</v>
      </c>
      <c r="J141" s="6">
        <v>56037</v>
      </c>
      <c r="K141">
        <v>0</v>
      </c>
      <c r="L141" s="6">
        <v>219733</v>
      </c>
      <c r="M141">
        <v>432</v>
      </c>
      <c r="N141">
        <v>116</v>
      </c>
      <c r="O141">
        <v>548</v>
      </c>
      <c r="P141" s="6">
        <v>27251</v>
      </c>
      <c r="Q141" s="6">
        <v>0</v>
      </c>
      <c r="R141" s="6">
        <v>17434</v>
      </c>
      <c r="S141" s="6">
        <v>19275</v>
      </c>
      <c r="T141" s="6">
        <v>284241</v>
      </c>
      <c r="U141" s="6">
        <v>191379</v>
      </c>
      <c r="V141" s="6">
        <v>92862</v>
      </c>
    </row>
    <row r="142" spans="1:22" x14ac:dyDescent="0.25">
      <c r="A142">
        <v>2025</v>
      </c>
      <c r="B142" s="1" t="s">
        <v>15</v>
      </c>
      <c r="C142" t="s">
        <v>51</v>
      </c>
      <c r="D142" s="1" t="s">
        <v>546</v>
      </c>
      <c r="E142" t="s">
        <v>221</v>
      </c>
      <c r="F142" s="6">
        <v>539423</v>
      </c>
      <c r="G142" s="6">
        <v>421424</v>
      </c>
      <c r="H142" s="6">
        <v>91867</v>
      </c>
      <c r="I142" s="6">
        <v>329557</v>
      </c>
      <c r="J142" s="6">
        <v>117999</v>
      </c>
      <c r="K142">
        <v>0</v>
      </c>
      <c r="L142" s="6">
        <v>447556</v>
      </c>
      <c r="M142">
        <v>521</v>
      </c>
      <c r="N142">
        <v>146</v>
      </c>
      <c r="O142">
        <v>667</v>
      </c>
      <c r="P142" s="6">
        <v>66429</v>
      </c>
      <c r="Q142" s="6">
        <v>0</v>
      </c>
      <c r="R142" s="6">
        <v>38258</v>
      </c>
      <c r="S142" s="6">
        <v>42651</v>
      </c>
      <c r="T142" s="6">
        <v>595561</v>
      </c>
      <c r="U142" s="6">
        <v>396507</v>
      </c>
      <c r="V142" s="6">
        <v>199054</v>
      </c>
    </row>
    <row r="143" spans="1:22" x14ac:dyDescent="0.25">
      <c r="A143">
        <v>2025</v>
      </c>
      <c r="B143" s="1" t="s">
        <v>18</v>
      </c>
      <c r="C143" t="s">
        <v>54</v>
      </c>
      <c r="D143" s="1" t="s">
        <v>547</v>
      </c>
      <c r="E143" t="s">
        <v>222</v>
      </c>
      <c r="F143" s="6">
        <v>1300296</v>
      </c>
      <c r="G143" s="6">
        <v>1050446</v>
      </c>
      <c r="H143" s="6">
        <v>228986</v>
      </c>
      <c r="I143" s="6">
        <v>821460</v>
      </c>
      <c r="J143" s="6">
        <v>249850</v>
      </c>
      <c r="K143">
        <v>0</v>
      </c>
      <c r="L143" s="6">
        <v>1071310</v>
      </c>
      <c r="M143">
        <v>0</v>
      </c>
      <c r="N143">
        <v>0</v>
      </c>
      <c r="O143">
        <v>0</v>
      </c>
      <c r="P143" s="6">
        <v>111308</v>
      </c>
      <c r="Q143" s="6">
        <v>0</v>
      </c>
      <c r="R143" s="6">
        <v>89764</v>
      </c>
      <c r="S143" s="6">
        <v>98628</v>
      </c>
      <c r="T143" s="6">
        <v>1371010</v>
      </c>
      <c r="U143" s="6">
        <v>932768</v>
      </c>
      <c r="V143" s="6">
        <v>438242</v>
      </c>
    </row>
    <row r="144" spans="1:22" x14ac:dyDescent="0.25">
      <c r="A144">
        <v>2025</v>
      </c>
      <c r="B144" s="1" t="s">
        <v>18</v>
      </c>
      <c r="C144" t="s">
        <v>54</v>
      </c>
      <c r="D144" s="1" t="s">
        <v>548</v>
      </c>
      <c r="E144" t="s">
        <v>223</v>
      </c>
      <c r="F144" s="6">
        <v>306583</v>
      </c>
      <c r="G144" s="6">
        <v>247674</v>
      </c>
      <c r="H144" s="6">
        <v>53990</v>
      </c>
      <c r="I144" s="6">
        <v>193684</v>
      </c>
      <c r="J144" s="6">
        <v>58909</v>
      </c>
      <c r="K144">
        <v>0</v>
      </c>
      <c r="L144" s="6">
        <v>252593</v>
      </c>
      <c r="M144">
        <v>0</v>
      </c>
      <c r="N144">
        <v>0</v>
      </c>
      <c r="O144">
        <v>0</v>
      </c>
      <c r="P144" s="6">
        <v>26244</v>
      </c>
      <c r="Q144" s="6">
        <v>0</v>
      </c>
      <c r="R144" s="6">
        <v>21341</v>
      </c>
      <c r="S144" s="6">
        <v>23448</v>
      </c>
      <c r="T144" s="6">
        <v>323626</v>
      </c>
      <c r="U144" s="6">
        <v>219928</v>
      </c>
      <c r="V144" s="6">
        <v>103698</v>
      </c>
    </row>
    <row r="145" spans="1:22" x14ac:dyDescent="0.25">
      <c r="A145">
        <v>2025</v>
      </c>
      <c r="B145" s="1" t="s">
        <v>17</v>
      </c>
      <c r="C145" t="s">
        <v>53</v>
      </c>
      <c r="D145" s="1" t="s">
        <v>549</v>
      </c>
      <c r="E145" t="s">
        <v>224</v>
      </c>
      <c r="F145" s="6">
        <v>5447167</v>
      </c>
      <c r="G145" s="6">
        <v>4308962</v>
      </c>
      <c r="H145" s="6">
        <v>939311</v>
      </c>
      <c r="I145" s="6">
        <v>3369651</v>
      </c>
      <c r="J145" s="6">
        <v>1138205</v>
      </c>
      <c r="K145">
        <v>0</v>
      </c>
      <c r="L145" s="6">
        <v>4507856</v>
      </c>
      <c r="M145" s="6">
        <v>4882</v>
      </c>
      <c r="N145" s="6">
        <v>1289</v>
      </c>
      <c r="O145" s="6">
        <v>6171</v>
      </c>
      <c r="P145" s="6">
        <v>516756</v>
      </c>
      <c r="Q145" s="6">
        <v>0</v>
      </c>
      <c r="R145" s="6">
        <v>398952</v>
      </c>
      <c r="S145" s="6">
        <v>438653</v>
      </c>
      <c r="T145" s="6">
        <v>5868388</v>
      </c>
      <c r="U145" s="6">
        <v>3891289</v>
      </c>
      <c r="V145" s="6">
        <v>1977099</v>
      </c>
    </row>
    <row r="146" spans="1:22" x14ac:dyDescent="0.25">
      <c r="A146">
        <v>2025</v>
      </c>
      <c r="B146" s="1" t="s">
        <v>15</v>
      </c>
      <c r="C146" t="s">
        <v>51</v>
      </c>
      <c r="D146" s="1" t="s">
        <v>550</v>
      </c>
      <c r="E146" t="s">
        <v>225</v>
      </c>
      <c r="F146" s="6">
        <v>386180</v>
      </c>
      <c r="G146" s="6">
        <v>301703</v>
      </c>
      <c r="H146" s="6">
        <v>65768</v>
      </c>
      <c r="I146" s="6">
        <v>235935</v>
      </c>
      <c r="J146" s="6">
        <v>84477</v>
      </c>
      <c r="K146">
        <v>0</v>
      </c>
      <c r="L146" s="6">
        <v>320412</v>
      </c>
      <c r="M146">
        <v>373</v>
      </c>
      <c r="N146">
        <v>104</v>
      </c>
      <c r="O146">
        <v>477</v>
      </c>
      <c r="P146" s="6">
        <v>47557</v>
      </c>
      <c r="Q146" s="6">
        <v>0</v>
      </c>
      <c r="R146" s="6">
        <v>25762</v>
      </c>
      <c r="S146" s="6">
        <v>28719</v>
      </c>
      <c r="T146" s="6">
        <v>422927</v>
      </c>
      <c r="U146" s="6">
        <v>283865</v>
      </c>
      <c r="V146" s="6">
        <v>139062</v>
      </c>
    </row>
    <row r="147" spans="1:22" x14ac:dyDescent="0.25">
      <c r="A147">
        <v>2025</v>
      </c>
      <c r="B147" s="1" t="s">
        <v>17</v>
      </c>
      <c r="C147" t="s">
        <v>53</v>
      </c>
      <c r="D147" s="1" t="s">
        <v>551</v>
      </c>
      <c r="E147" t="s">
        <v>226</v>
      </c>
      <c r="F147" s="6">
        <v>191999</v>
      </c>
      <c r="G147" s="6">
        <v>151880</v>
      </c>
      <c r="H147" s="6">
        <v>33108</v>
      </c>
      <c r="I147" s="6">
        <v>118772</v>
      </c>
      <c r="J147" s="6">
        <v>40119</v>
      </c>
      <c r="K147" s="6">
        <v>0</v>
      </c>
      <c r="L147" s="6">
        <v>158891</v>
      </c>
      <c r="M147">
        <v>173</v>
      </c>
      <c r="N147">
        <v>45</v>
      </c>
      <c r="O147">
        <v>218</v>
      </c>
      <c r="P147" s="6">
        <v>18214</v>
      </c>
      <c r="Q147" s="6">
        <v>0</v>
      </c>
      <c r="R147" s="6">
        <v>12971</v>
      </c>
      <c r="S147" s="6">
        <v>14262</v>
      </c>
      <c r="T147" s="6">
        <v>204556</v>
      </c>
      <c r="U147" s="6">
        <v>137159</v>
      </c>
      <c r="V147" s="6">
        <v>67397</v>
      </c>
    </row>
    <row r="148" spans="1:22" x14ac:dyDescent="0.25">
      <c r="A148">
        <v>2025</v>
      </c>
      <c r="B148" s="1" t="s">
        <v>15</v>
      </c>
      <c r="C148" t="s">
        <v>51</v>
      </c>
      <c r="D148" s="1" t="s">
        <v>552</v>
      </c>
      <c r="E148" t="s">
        <v>227</v>
      </c>
      <c r="F148" s="6">
        <v>165477</v>
      </c>
      <c r="G148" s="6">
        <v>129279</v>
      </c>
      <c r="H148" s="6">
        <v>28181</v>
      </c>
      <c r="I148" s="6">
        <v>101098</v>
      </c>
      <c r="J148" s="6">
        <v>36198</v>
      </c>
      <c r="K148" s="6">
        <v>2229</v>
      </c>
      <c r="L148" s="6">
        <v>139525</v>
      </c>
      <c r="M148">
        <v>159</v>
      </c>
      <c r="N148">
        <v>45</v>
      </c>
      <c r="O148">
        <v>204</v>
      </c>
      <c r="P148" s="6">
        <v>20736</v>
      </c>
      <c r="Q148" s="6">
        <v>0</v>
      </c>
      <c r="R148" s="6">
        <v>11549</v>
      </c>
      <c r="S148" s="6">
        <v>12875</v>
      </c>
      <c r="T148" s="6">
        <v>184889</v>
      </c>
      <c r="U148" s="6">
        <v>121993</v>
      </c>
      <c r="V148" s="6">
        <v>62896</v>
      </c>
    </row>
    <row r="149" spans="1:22" x14ac:dyDescent="0.25">
      <c r="A149">
        <v>2025</v>
      </c>
      <c r="B149" s="1" t="s">
        <v>15</v>
      </c>
      <c r="C149" t="s">
        <v>51</v>
      </c>
      <c r="D149" s="1" t="s">
        <v>553</v>
      </c>
      <c r="E149" t="s">
        <v>228</v>
      </c>
      <c r="F149" s="6">
        <v>338439</v>
      </c>
      <c r="G149" s="6">
        <v>264406</v>
      </c>
      <c r="H149" s="6">
        <v>57638</v>
      </c>
      <c r="I149" s="6">
        <v>206768</v>
      </c>
      <c r="J149" s="6">
        <v>74033</v>
      </c>
      <c r="K149" s="6">
        <v>3772</v>
      </c>
      <c r="L149" s="6">
        <v>284573</v>
      </c>
      <c r="M149">
        <v>327</v>
      </c>
      <c r="N149">
        <v>91</v>
      </c>
      <c r="O149">
        <v>418</v>
      </c>
      <c r="P149" s="6">
        <v>42312</v>
      </c>
      <c r="Q149" s="6">
        <v>0</v>
      </c>
      <c r="R149" s="6">
        <v>25147</v>
      </c>
      <c r="S149" s="6">
        <v>28034</v>
      </c>
      <c r="T149" s="6">
        <v>380484</v>
      </c>
      <c r="U149" s="6">
        <v>249406</v>
      </c>
      <c r="V149" s="6">
        <v>131078</v>
      </c>
    </row>
    <row r="150" spans="1:22" x14ac:dyDescent="0.25">
      <c r="A150">
        <v>2025</v>
      </c>
      <c r="B150" s="1" t="s">
        <v>18</v>
      </c>
      <c r="C150" t="s">
        <v>54</v>
      </c>
      <c r="D150" s="1" t="s">
        <v>554</v>
      </c>
      <c r="E150" t="s">
        <v>229</v>
      </c>
      <c r="F150" s="6">
        <v>2553929</v>
      </c>
      <c r="G150" s="6">
        <v>2063194</v>
      </c>
      <c r="H150" s="6">
        <v>449755</v>
      </c>
      <c r="I150" s="6">
        <v>1613439</v>
      </c>
      <c r="J150" s="6">
        <v>490735</v>
      </c>
      <c r="K150">
        <v>0</v>
      </c>
      <c r="L150" s="6">
        <v>2104174</v>
      </c>
      <c r="M150">
        <v>0</v>
      </c>
      <c r="N150">
        <v>0</v>
      </c>
      <c r="O150">
        <v>0</v>
      </c>
      <c r="P150" s="6">
        <v>218622</v>
      </c>
      <c r="Q150" s="6">
        <v>0</v>
      </c>
      <c r="R150" s="6">
        <v>185505</v>
      </c>
      <c r="S150" s="6">
        <v>203825</v>
      </c>
      <c r="T150" s="6">
        <v>2712126</v>
      </c>
      <c r="U150" s="6">
        <v>1832061</v>
      </c>
      <c r="V150" s="6">
        <v>880065</v>
      </c>
    </row>
    <row r="151" spans="1:22" x14ac:dyDescent="0.25">
      <c r="A151">
        <v>2025</v>
      </c>
      <c r="B151" s="1" t="s">
        <v>21</v>
      </c>
      <c r="C151" t="s">
        <v>57</v>
      </c>
      <c r="D151" s="1" t="s">
        <v>555</v>
      </c>
      <c r="E151" t="s">
        <v>230</v>
      </c>
      <c r="F151" s="6">
        <v>739294</v>
      </c>
      <c r="G151" s="6">
        <v>587709</v>
      </c>
      <c r="H151" s="6">
        <v>128115</v>
      </c>
      <c r="I151" s="6">
        <v>459594</v>
      </c>
      <c r="J151" s="6">
        <v>151585</v>
      </c>
      <c r="K151">
        <v>0</v>
      </c>
      <c r="L151" s="6">
        <v>611179</v>
      </c>
      <c r="M151" s="6">
        <v>1361</v>
      </c>
      <c r="N151">
        <v>351</v>
      </c>
      <c r="O151" s="6">
        <v>1712</v>
      </c>
      <c r="P151" s="6">
        <v>74356</v>
      </c>
      <c r="Q151" s="6">
        <v>0</v>
      </c>
      <c r="R151" s="6">
        <v>48939</v>
      </c>
      <c r="S151" s="6">
        <v>53803</v>
      </c>
      <c r="T151" s="6">
        <v>789989</v>
      </c>
      <c r="U151" s="6">
        <v>535311</v>
      </c>
      <c r="V151" s="6">
        <v>254678</v>
      </c>
    </row>
    <row r="152" spans="1:22" x14ac:dyDescent="0.25">
      <c r="A152">
        <v>2025</v>
      </c>
      <c r="B152" s="1" t="s">
        <v>21</v>
      </c>
      <c r="C152" t="s">
        <v>57</v>
      </c>
      <c r="D152" s="1" t="s">
        <v>556</v>
      </c>
      <c r="E152" t="s">
        <v>231</v>
      </c>
      <c r="F152" s="6">
        <v>133584</v>
      </c>
      <c r="G152" s="6">
        <v>106194</v>
      </c>
      <c r="H152" s="6">
        <v>23149</v>
      </c>
      <c r="I152" s="6">
        <v>83045</v>
      </c>
      <c r="J152" s="6">
        <v>27390</v>
      </c>
      <c r="K152">
        <v>0</v>
      </c>
      <c r="L152" s="6">
        <v>110435</v>
      </c>
      <c r="M152">
        <v>246</v>
      </c>
      <c r="N152">
        <v>63</v>
      </c>
      <c r="O152">
        <v>309</v>
      </c>
      <c r="P152" s="6">
        <v>13435</v>
      </c>
      <c r="Q152" s="6">
        <v>0</v>
      </c>
      <c r="R152" s="6">
        <v>8866</v>
      </c>
      <c r="S152" s="6">
        <v>9747</v>
      </c>
      <c r="T152" s="6">
        <v>142792</v>
      </c>
      <c r="U152" s="6">
        <v>96725</v>
      </c>
      <c r="V152" s="6">
        <v>46067</v>
      </c>
    </row>
    <row r="153" spans="1:22" x14ac:dyDescent="0.25">
      <c r="A153">
        <v>2025</v>
      </c>
      <c r="B153" s="1" t="s">
        <v>19</v>
      </c>
      <c r="C153" t="s">
        <v>55</v>
      </c>
      <c r="D153" s="1" t="s">
        <v>557</v>
      </c>
      <c r="E153" t="s">
        <v>232</v>
      </c>
      <c r="F153" s="6">
        <v>185953</v>
      </c>
      <c r="G153" s="6">
        <v>143918</v>
      </c>
      <c r="H153" s="6">
        <v>31373</v>
      </c>
      <c r="I153" s="6">
        <v>112545</v>
      </c>
      <c r="J153" s="6">
        <v>42035</v>
      </c>
      <c r="K153">
        <v>0</v>
      </c>
      <c r="L153" s="6">
        <v>154580</v>
      </c>
      <c r="M153">
        <v>273</v>
      </c>
      <c r="N153">
        <v>79</v>
      </c>
      <c r="O153">
        <v>352</v>
      </c>
      <c r="P153" s="6">
        <v>18747</v>
      </c>
      <c r="Q153" s="6">
        <v>0</v>
      </c>
      <c r="R153" s="6">
        <v>12262</v>
      </c>
      <c r="S153" s="6">
        <v>13728</v>
      </c>
      <c r="T153" s="6">
        <v>199669</v>
      </c>
      <c r="U153" s="6">
        <v>131565</v>
      </c>
      <c r="V153" s="6">
        <v>68104</v>
      </c>
    </row>
    <row r="154" spans="1:22" x14ac:dyDescent="0.25">
      <c r="A154">
        <v>2025</v>
      </c>
      <c r="B154" s="1" t="s">
        <v>18</v>
      </c>
      <c r="C154" t="s">
        <v>54</v>
      </c>
      <c r="D154" s="1" t="s">
        <v>558</v>
      </c>
      <c r="E154" t="s">
        <v>233</v>
      </c>
      <c r="F154" s="6">
        <v>654577</v>
      </c>
      <c r="G154" s="6">
        <v>528800</v>
      </c>
      <c r="H154" s="6">
        <v>115273</v>
      </c>
      <c r="I154" s="6">
        <v>413527</v>
      </c>
      <c r="J154" s="6">
        <v>125777</v>
      </c>
      <c r="K154">
        <v>0</v>
      </c>
      <c r="L154" s="6">
        <v>539304</v>
      </c>
      <c r="M154">
        <v>0</v>
      </c>
      <c r="N154">
        <v>0</v>
      </c>
      <c r="O154">
        <v>0</v>
      </c>
      <c r="P154" s="6">
        <v>56033</v>
      </c>
      <c r="Q154" s="6">
        <v>0</v>
      </c>
      <c r="R154" s="6">
        <v>43954</v>
      </c>
      <c r="S154" s="6">
        <v>48294</v>
      </c>
      <c r="T154" s="6">
        <v>687585</v>
      </c>
      <c r="U154" s="6">
        <v>469560</v>
      </c>
      <c r="V154" s="6">
        <v>218025</v>
      </c>
    </row>
    <row r="155" spans="1:22" x14ac:dyDescent="0.25">
      <c r="A155">
        <v>2025</v>
      </c>
      <c r="B155" s="1" t="s">
        <v>15</v>
      </c>
      <c r="C155" t="s">
        <v>51</v>
      </c>
      <c r="D155" s="1" t="s">
        <v>559</v>
      </c>
      <c r="E155" t="s">
        <v>234</v>
      </c>
      <c r="F155" s="6">
        <v>219967</v>
      </c>
      <c r="G155" s="6">
        <v>171850</v>
      </c>
      <c r="H155" s="6">
        <v>37462</v>
      </c>
      <c r="I155" s="6">
        <v>134388</v>
      </c>
      <c r="J155" s="6">
        <v>48117</v>
      </c>
      <c r="K155">
        <v>0</v>
      </c>
      <c r="L155" s="6">
        <v>182505</v>
      </c>
      <c r="M155">
        <v>213</v>
      </c>
      <c r="N155">
        <v>60</v>
      </c>
      <c r="O155">
        <v>273</v>
      </c>
      <c r="P155" s="6">
        <v>27089</v>
      </c>
      <c r="Q155" s="6">
        <v>0</v>
      </c>
      <c r="R155" s="6">
        <v>14392</v>
      </c>
      <c r="S155" s="6">
        <v>16044</v>
      </c>
      <c r="T155" s="6">
        <v>240303</v>
      </c>
      <c r="U155" s="6">
        <v>161690</v>
      </c>
      <c r="V155" s="6">
        <v>78613</v>
      </c>
    </row>
    <row r="156" spans="1:22" x14ac:dyDescent="0.25">
      <c r="A156">
        <v>2025</v>
      </c>
      <c r="B156" s="1" t="s">
        <v>20</v>
      </c>
      <c r="C156" t="s">
        <v>56</v>
      </c>
      <c r="D156" s="1" t="s">
        <v>560</v>
      </c>
      <c r="E156" t="s">
        <v>235</v>
      </c>
      <c r="F156" s="6">
        <v>117382</v>
      </c>
      <c r="G156" s="6">
        <v>92594</v>
      </c>
      <c r="H156" s="6">
        <v>20185</v>
      </c>
      <c r="I156" s="6">
        <v>72409</v>
      </c>
      <c r="J156" s="6">
        <v>24788</v>
      </c>
      <c r="K156" s="6">
        <v>13836</v>
      </c>
      <c r="L156" s="6">
        <v>111033</v>
      </c>
      <c r="M156">
        <v>189</v>
      </c>
      <c r="N156">
        <v>51</v>
      </c>
      <c r="O156">
        <v>240</v>
      </c>
      <c r="P156" s="6">
        <v>13474</v>
      </c>
      <c r="Q156" s="6">
        <v>0</v>
      </c>
      <c r="R156" s="6">
        <v>7774</v>
      </c>
      <c r="S156" s="6">
        <v>8595</v>
      </c>
      <c r="T156" s="6">
        <v>141116</v>
      </c>
      <c r="U156" s="6">
        <v>86072</v>
      </c>
      <c r="V156" s="6">
        <v>55044</v>
      </c>
    </row>
    <row r="157" spans="1:22" x14ac:dyDescent="0.25">
      <c r="A157">
        <v>2025</v>
      </c>
      <c r="B157" s="1" t="s">
        <v>14</v>
      </c>
      <c r="C157" t="s">
        <v>50</v>
      </c>
      <c r="D157" s="1" t="s">
        <v>561</v>
      </c>
      <c r="E157" t="s">
        <v>236</v>
      </c>
      <c r="F157" s="6">
        <v>133791</v>
      </c>
      <c r="G157" s="6">
        <v>102557</v>
      </c>
      <c r="H157" s="6">
        <v>22356</v>
      </c>
      <c r="I157" s="6">
        <v>80201</v>
      </c>
      <c r="J157" s="6">
        <v>31234</v>
      </c>
      <c r="K157">
        <v>0</v>
      </c>
      <c r="L157" s="6">
        <v>111435</v>
      </c>
      <c r="M157">
        <v>0</v>
      </c>
      <c r="N157">
        <v>0</v>
      </c>
      <c r="O157">
        <v>0</v>
      </c>
      <c r="P157" s="6">
        <v>14164</v>
      </c>
      <c r="Q157" s="6">
        <v>0</v>
      </c>
      <c r="R157" s="6">
        <v>8150</v>
      </c>
      <c r="S157" s="6">
        <v>9127</v>
      </c>
      <c r="T157" s="6">
        <v>142876</v>
      </c>
      <c r="U157" s="6">
        <v>94365</v>
      </c>
      <c r="V157" s="6">
        <v>48511</v>
      </c>
    </row>
    <row r="158" spans="1:22" x14ac:dyDescent="0.25">
      <c r="A158">
        <v>2025</v>
      </c>
      <c r="B158" s="1" t="s">
        <v>19</v>
      </c>
      <c r="C158" t="s">
        <v>55</v>
      </c>
      <c r="D158" s="1" t="s">
        <v>562</v>
      </c>
      <c r="E158" t="s">
        <v>237</v>
      </c>
      <c r="F158" s="6">
        <v>236988</v>
      </c>
      <c r="G158" s="6">
        <v>183416</v>
      </c>
      <c r="H158" s="6">
        <v>39983</v>
      </c>
      <c r="I158" s="6">
        <v>143433</v>
      </c>
      <c r="J158" s="6">
        <v>53572</v>
      </c>
      <c r="K158">
        <v>0</v>
      </c>
      <c r="L158" s="6">
        <v>197005</v>
      </c>
      <c r="M158">
        <v>348</v>
      </c>
      <c r="N158">
        <v>102</v>
      </c>
      <c r="O158">
        <v>450</v>
      </c>
      <c r="P158" s="6">
        <v>23892</v>
      </c>
      <c r="Q158" s="6">
        <v>0</v>
      </c>
      <c r="R158" s="6">
        <v>15923</v>
      </c>
      <c r="S158" s="6">
        <v>17826</v>
      </c>
      <c r="T158" s="6">
        <v>255096</v>
      </c>
      <c r="U158" s="6">
        <v>167674</v>
      </c>
      <c r="V158" s="6">
        <v>87422</v>
      </c>
    </row>
    <row r="159" spans="1:22" x14ac:dyDescent="0.25">
      <c r="A159">
        <v>2025</v>
      </c>
      <c r="B159" s="1" t="s">
        <v>19</v>
      </c>
      <c r="C159" t="s">
        <v>55</v>
      </c>
      <c r="D159" s="1" t="s">
        <v>563</v>
      </c>
      <c r="E159" t="s">
        <v>238</v>
      </c>
      <c r="F159" s="6">
        <v>881649</v>
      </c>
      <c r="G159" s="6">
        <v>682352</v>
      </c>
      <c r="H159" s="6">
        <v>148746</v>
      </c>
      <c r="I159" s="6">
        <v>533606</v>
      </c>
      <c r="J159" s="6">
        <v>199297</v>
      </c>
      <c r="K159">
        <v>0</v>
      </c>
      <c r="L159" s="6">
        <v>732903</v>
      </c>
      <c r="M159" s="6">
        <v>1299</v>
      </c>
      <c r="N159">
        <v>379</v>
      </c>
      <c r="O159" s="6">
        <v>1678</v>
      </c>
      <c r="P159" s="6">
        <v>88883</v>
      </c>
      <c r="Q159" s="6">
        <v>0</v>
      </c>
      <c r="R159" s="6">
        <v>68326</v>
      </c>
      <c r="S159" s="6">
        <v>76494</v>
      </c>
      <c r="T159" s="6">
        <v>968284</v>
      </c>
      <c r="U159" s="6">
        <v>623788</v>
      </c>
      <c r="V159" s="6">
        <v>344496</v>
      </c>
    </row>
    <row r="160" spans="1:22" x14ac:dyDescent="0.25">
      <c r="A160">
        <v>2025</v>
      </c>
      <c r="B160" s="1" t="s">
        <v>20</v>
      </c>
      <c r="C160" t="s">
        <v>56</v>
      </c>
      <c r="D160" s="1" t="s">
        <v>564</v>
      </c>
      <c r="E160" t="s">
        <v>239</v>
      </c>
      <c r="F160" s="6">
        <v>174604</v>
      </c>
      <c r="G160" s="6">
        <v>137732</v>
      </c>
      <c r="H160" s="6">
        <v>30024</v>
      </c>
      <c r="I160" s="6">
        <v>107708</v>
      </c>
      <c r="J160" s="6">
        <v>36872</v>
      </c>
      <c r="K160">
        <v>0</v>
      </c>
      <c r="L160" s="6">
        <v>144580</v>
      </c>
      <c r="M160">
        <v>284</v>
      </c>
      <c r="N160">
        <v>75</v>
      </c>
      <c r="O160">
        <v>359</v>
      </c>
      <c r="P160" s="6">
        <v>17931</v>
      </c>
      <c r="Q160" s="6">
        <v>0</v>
      </c>
      <c r="R160" s="6">
        <v>11776</v>
      </c>
      <c r="S160" s="6">
        <v>13019</v>
      </c>
      <c r="T160" s="6">
        <v>187665</v>
      </c>
      <c r="U160" s="6">
        <v>125923</v>
      </c>
      <c r="V160" s="6">
        <v>61742</v>
      </c>
    </row>
    <row r="161" spans="1:22" x14ac:dyDescent="0.25">
      <c r="A161">
        <v>2025</v>
      </c>
      <c r="B161" s="1" t="s">
        <v>20</v>
      </c>
      <c r="C161" t="s">
        <v>56</v>
      </c>
      <c r="D161" s="1" t="s">
        <v>565</v>
      </c>
      <c r="E161" t="s">
        <v>240</v>
      </c>
      <c r="F161" s="6">
        <v>1057782</v>
      </c>
      <c r="G161" s="6">
        <v>834408</v>
      </c>
      <c r="H161" s="6">
        <v>181892</v>
      </c>
      <c r="I161" s="6">
        <v>652516</v>
      </c>
      <c r="J161" s="6">
        <v>223374</v>
      </c>
      <c r="K161">
        <v>0</v>
      </c>
      <c r="L161" s="6">
        <v>875890</v>
      </c>
      <c r="M161" s="6">
        <v>1717</v>
      </c>
      <c r="N161">
        <v>460</v>
      </c>
      <c r="O161" s="6">
        <v>2177</v>
      </c>
      <c r="P161" s="6">
        <v>108628</v>
      </c>
      <c r="Q161" s="6">
        <v>0</v>
      </c>
      <c r="R161" s="6">
        <v>73839</v>
      </c>
      <c r="S161" s="6">
        <v>81638</v>
      </c>
      <c r="T161" s="6">
        <v>1142172</v>
      </c>
      <c r="U161" s="6">
        <v>762861</v>
      </c>
      <c r="V161" s="6">
        <v>379311</v>
      </c>
    </row>
    <row r="162" spans="1:22" x14ac:dyDescent="0.25">
      <c r="A162">
        <v>2025</v>
      </c>
      <c r="B162" s="1" t="s">
        <v>17</v>
      </c>
      <c r="C162" t="s">
        <v>53</v>
      </c>
      <c r="D162" s="1" t="s">
        <v>566</v>
      </c>
      <c r="E162" t="s">
        <v>241</v>
      </c>
      <c r="F162" s="6">
        <v>2862822</v>
      </c>
      <c r="G162" s="6">
        <v>2264625</v>
      </c>
      <c r="H162" s="6">
        <v>493666</v>
      </c>
      <c r="I162" s="6">
        <v>1770959</v>
      </c>
      <c r="J162" s="6">
        <v>598197</v>
      </c>
      <c r="K162">
        <v>0</v>
      </c>
      <c r="L162" s="6">
        <v>2369156</v>
      </c>
      <c r="M162" s="6">
        <v>2565</v>
      </c>
      <c r="N162">
        <v>678</v>
      </c>
      <c r="O162" s="6">
        <v>3243</v>
      </c>
      <c r="P162" s="6">
        <v>271587</v>
      </c>
      <c r="Q162" s="6">
        <v>0</v>
      </c>
      <c r="R162" s="6">
        <v>207593</v>
      </c>
      <c r="S162" s="6">
        <v>228251</v>
      </c>
      <c r="T162" s="6">
        <v>3079830</v>
      </c>
      <c r="U162" s="6">
        <v>2045111</v>
      </c>
      <c r="V162" s="6">
        <v>1034719</v>
      </c>
    </row>
    <row r="163" spans="1:22" x14ac:dyDescent="0.25">
      <c r="A163">
        <v>2025</v>
      </c>
      <c r="B163" s="1" t="s">
        <v>17</v>
      </c>
      <c r="C163" t="s">
        <v>53</v>
      </c>
      <c r="D163" s="1" t="s">
        <v>567</v>
      </c>
      <c r="E163" t="s">
        <v>242</v>
      </c>
      <c r="F163" s="6">
        <v>254980</v>
      </c>
      <c r="G163" s="6">
        <v>201701</v>
      </c>
      <c r="H163" s="6">
        <v>43969</v>
      </c>
      <c r="I163" s="6">
        <v>157732</v>
      </c>
      <c r="J163" s="6">
        <v>53279</v>
      </c>
      <c r="K163">
        <v>0</v>
      </c>
      <c r="L163" s="6">
        <v>211011</v>
      </c>
      <c r="M163">
        <v>230</v>
      </c>
      <c r="N163">
        <v>60</v>
      </c>
      <c r="O163">
        <v>290</v>
      </c>
      <c r="P163" s="6">
        <v>24189</v>
      </c>
      <c r="Q163" s="6">
        <v>0</v>
      </c>
      <c r="R163" s="6">
        <v>17610</v>
      </c>
      <c r="S163" s="6">
        <v>19362</v>
      </c>
      <c r="T163" s="6">
        <v>272462</v>
      </c>
      <c r="U163" s="6">
        <v>182150</v>
      </c>
      <c r="V163" s="6">
        <v>90312</v>
      </c>
    </row>
    <row r="164" spans="1:22" x14ac:dyDescent="0.25">
      <c r="A164">
        <v>2025</v>
      </c>
      <c r="B164" s="1" t="s">
        <v>20</v>
      </c>
      <c r="C164" t="s">
        <v>56</v>
      </c>
      <c r="D164" s="1" t="s">
        <v>568</v>
      </c>
      <c r="E164" t="s">
        <v>243</v>
      </c>
      <c r="F164" s="6">
        <v>220983</v>
      </c>
      <c r="G164" s="6">
        <v>174317</v>
      </c>
      <c r="H164" s="6">
        <v>37999</v>
      </c>
      <c r="I164" s="6">
        <v>136318</v>
      </c>
      <c r="J164" s="6">
        <v>46666</v>
      </c>
      <c r="K164">
        <v>0</v>
      </c>
      <c r="L164" s="6">
        <v>182984</v>
      </c>
      <c r="M164">
        <v>359</v>
      </c>
      <c r="N164">
        <v>96</v>
      </c>
      <c r="O164">
        <v>455</v>
      </c>
      <c r="P164" s="6">
        <v>22694</v>
      </c>
      <c r="Q164" s="6">
        <v>0</v>
      </c>
      <c r="R164" s="6">
        <v>15012</v>
      </c>
      <c r="S164" s="6">
        <v>16598</v>
      </c>
      <c r="T164" s="6">
        <v>237743</v>
      </c>
      <c r="U164" s="6">
        <v>159372</v>
      </c>
      <c r="V164" s="6">
        <v>78371</v>
      </c>
    </row>
    <row r="165" spans="1:22" x14ac:dyDescent="0.25">
      <c r="A165">
        <v>2025</v>
      </c>
      <c r="B165" s="1" t="s">
        <v>17</v>
      </c>
      <c r="C165" t="s">
        <v>53</v>
      </c>
      <c r="D165" s="1" t="s">
        <v>569</v>
      </c>
      <c r="E165" t="s">
        <v>244</v>
      </c>
      <c r="F165" s="6">
        <v>111537</v>
      </c>
      <c r="G165" s="6">
        <v>88231</v>
      </c>
      <c r="H165" s="6">
        <v>19233</v>
      </c>
      <c r="I165" s="6">
        <v>68998</v>
      </c>
      <c r="J165" s="6">
        <v>23306</v>
      </c>
      <c r="K165" s="6">
        <v>17061</v>
      </c>
      <c r="L165" s="6">
        <v>109365</v>
      </c>
      <c r="M165">
        <v>108</v>
      </c>
      <c r="N165">
        <v>29</v>
      </c>
      <c r="O165">
        <v>137</v>
      </c>
      <c r="P165" s="6">
        <v>10940</v>
      </c>
      <c r="Q165" s="6">
        <v>0</v>
      </c>
      <c r="R165" s="6">
        <v>7951</v>
      </c>
      <c r="S165" s="6">
        <v>8742</v>
      </c>
      <c r="T165" s="6">
        <v>137135</v>
      </c>
      <c r="U165" s="6">
        <v>80046</v>
      </c>
      <c r="V165" s="6">
        <v>57089</v>
      </c>
    </row>
    <row r="166" spans="1:22" x14ac:dyDescent="0.25">
      <c r="A166">
        <v>2025</v>
      </c>
      <c r="B166" s="1" t="s">
        <v>16</v>
      </c>
      <c r="C166" t="s">
        <v>52</v>
      </c>
      <c r="D166" s="1" t="s">
        <v>570</v>
      </c>
      <c r="E166" t="s">
        <v>245</v>
      </c>
      <c r="F166" s="6">
        <v>261515</v>
      </c>
      <c r="G166" s="6">
        <v>205713</v>
      </c>
      <c r="H166" s="6">
        <v>44843</v>
      </c>
      <c r="I166" s="6">
        <v>160870</v>
      </c>
      <c r="J166" s="6">
        <v>55802</v>
      </c>
      <c r="K166">
        <v>0</v>
      </c>
      <c r="L166" s="6">
        <v>216672</v>
      </c>
      <c r="M166">
        <v>354</v>
      </c>
      <c r="N166">
        <v>96</v>
      </c>
      <c r="O166">
        <v>450</v>
      </c>
      <c r="P166" s="6">
        <v>24099</v>
      </c>
      <c r="Q166" s="6">
        <v>0</v>
      </c>
      <c r="R166" s="6">
        <v>17356</v>
      </c>
      <c r="S166" s="6">
        <v>18974</v>
      </c>
      <c r="T166" s="6">
        <v>277551</v>
      </c>
      <c r="U166" s="6">
        <v>185323</v>
      </c>
      <c r="V166" s="6">
        <v>92228</v>
      </c>
    </row>
    <row r="167" spans="1:22" x14ac:dyDescent="0.25">
      <c r="A167">
        <v>2025</v>
      </c>
      <c r="B167" s="1" t="s">
        <v>18</v>
      </c>
      <c r="C167" t="s">
        <v>54</v>
      </c>
      <c r="D167" s="1" t="s">
        <v>571</v>
      </c>
      <c r="E167" t="s">
        <v>246</v>
      </c>
      <c r="F167" s="6">
        <v>165703</v>
      </c>
      <c r="G167" s="6">
        <v>133863</v>
      </c>
      <c r="H167" s="6">
        <v>29181</v>
      </c>
      <c r="I167" s="6">
        <v>104682</v>
      </c>
      <c r="J167" s="6">
        <v>31840</v>
      </c>
      <c r="K167">
        <v>0</v>
      </c>
      <c r="L167" s="6">
        <v>136522</v>
      </c>
      <c r="M167">
        <v>0</v>
      </c>
      <c r="N167">
        <v>0</v>
      </c>
      <c r="O167">
        <v>0</v>
      </c>
      <c r="P167" s="6">
        <v>14185</v>
      </c>
      <c r="Q167" s="6">
        <v>0</v>
      </c>
      <c r="R167" s="6">
        <v>12692</v>
      </c>
      <c r="S167" s="6">
        <v>13946</v>
      </c>
      <c r="T167" s="6">
        <v>177345</v>
      </c>
      <c r="U167" s="6">
        <v>118867</v>
      </c>
      <c r="V167" s="6">
        <v>58478</v>
      </c>
    </row>
    <row r="168" spans="1:22" x14ac:dyDescent="0.25">
      <c r="A168">
        <v>2025</v>
      </c>
      <c r="B168" s="1" t="s">
        <v>18</v>
      </c>
      <c r="C168" t="s">
        <v>54</v>
      </c>
      <c r="D168" s="1" t="s">
        <v>572</v>
      </c>
      <c r="E168" t="s">
        <v>247</v>
      </c>
      <c r="F168" s="6">
        <v>242828</v>
      </c>
      <c r="G168" s="6">
        <v>196169</v>
      </c>
      <c r="H168" s="6">
        <v>42763</v>
      </c>
      <c r="I168" s="6">
        <v>153406</v>
      </c>
      <c r="J168" s="6">
        <v>46659</v>
      </c>
      <c r="K168" s="6">
        <v>2980</v>
      </c>
      <c r="L168" s="6">
        <v>203045</v>
      </c>
      <c r="M168">
        <v>0</v>
      </c>
      <c r="N168">
        <v>0</v>
      </c>
      <c r="O168">
        <v>0</v>
      </c>
      <c r="P168" s="6">
        <v>20932</v>
      </c>
      <c r="Q168" s="6">
        <v>0</v>
      </c>
      <c r="R168" s="6">
        <v>16406</v>
      </c>
      <c r="S168" s="6">
        <v>18026</v>
      </c>
      <c r="T168" s="6">
        <v>258409</v>
      </c>
      <c r="U168" s="6">
        <v>174338</v>
      </c>
      <c r="V168" s="6">
        <v>84071</v>
      </c>
    </row>
    <row r="169" spans="1:22" x14ac:dyDescent="0.25">
      <c r="A169">
        <v>2025</v>
      </c>
      <c r="B169" s="1" t="s">
        <v>14</v>
      </c>
      <c r="C169" t="s">
        <v>50</v>
      </c>
      <c r="D169" s="1" t="s">
        <v>573</v>
      </c>
      <c r="E169" t="s">
        <v>248</v>
      </c>
      <c r="F169" s="6">
        <v>257396</v>
      </c>
      <c r="G169" s="6">
        <v>197305</v>
      </c>
      <c r="H169" s="6">
        <v>43011</v>
      </c>
      <c r="I169" s="6">
        <v>154294</v>
      </c>
      <c r="J169" s="6">
        <v>60091</v>
      </c>
      <c r="K169">
        <v>0</v>
      </c>
      <c r="L169" s="6">
        <v>214385</v>
      </c>
      <c r="M169">
        <v>0</v>
      </c>
      <c r="N169">
        <v>0</v>
      </c>
      <c r="O169">
        <v>0</v>
      </c>
      <c r="P169" s="6">
        <v>27250</v>
      </c>
      <c r="Q169" s="6">
        <v>0</v>
      </c>
      <c r="R169" s="6">
        <v>18632</v>
      </c>
      <c r="S169" s="6">
        <v>20865</v>
      </c>
      <c r="T169" s="6">
        <v>281132</v>
      </c>
      <c r="U169" s="6">
        <v>181544</v>
      </c>
      <c r="V169" s="6">
        <v>99588</v>
      </c>
    </row>
    <row r="170" spans="1:22" x14ac:dyDescent="0.25">
      <c r="A170">
        <v>2025</v>
      </c>
      <c r="B170" s="1" t="s">
        <v>19</v>
      </c>
      <c r="C170" t="s">
        <v>55</v>
      </c>
      <c r="D170" s="1" t="s">
        <v>574</v>
      </c>
      <c r="E170" t="s">
        <v>249</v>
      </c>
      <c r="F170" s="6">
        <v>224010</v>
      </c>
      <c r="G170" s="6">
        <v>173372</v>
      </c>
      <c r="H170" s="6">
        <v>37794</v>
      </c>
      <c r="I170" s="6">
        <v>135578</v>
      </c>
      <c r="J170" s="6">
        <v>50638</v>
      </c>
      <c r="K170" s="6">
        <v>11367</v>
      </c>
      <c r="L170" s="6">
        <v>197583</v>
      </c>
      <c r="M170">
        <v>329</v>
      </c>
      <c r="N170">
        <v>97</v>
      </c>
      <c r="O170">
        <v>426</v>
      </c>
      <c r="P170" s="6">
        <v>23098</v>
      </c>
      <c r="Q170" s="6">
        <v>0</v>
      </c>
      <c r="R170" s="6">
        <v>15488</v>
      </c>
      <c r="S170" s="6">
        <v>17339</v>
      </c>
      <c r="T170" s="6">
        <v>253934</v>
      </c>
      <c r="U170" s="6">
        <v>159006</v>
      </c>
      <c r="V170" s="6">
        <v>94928</v>
      </c>
    </row>
    <row r="171" spans="1:22" x14ac:dyDescent="0.25">
      <c r="A171">
        <v>2025</v>
      </c>
      <c r="B171" s="1" t="s">
        <v>16</v>
      </c>
      <c r="C171" t="s">
        <v>52</v>
      </c>
      <c r="D171" s="1" t="s">
        <v>575</v>
      </c>
      <c r="E171" t="s">
        <v>250</v>
      </c>
      <c r="F171" s="6">
        <v>515673</v>
      </c>
      <c r="G171" s="6">
        <v>405640</v>
      </c>
      <c r="H171" s="6">
        <v>88426</v>
      </c>
      <c r="I171" s="6">
        <v>317214</v>
      </c>
      <c r="J171" s="6">
        <v>110033</v>
      </c>
      <c r="K171" s="6">
        <v>0</v>
      </c>
      <c r="L171" s="6">
        <v>427247</v>
      </c>
      <c r="M171">
        <v>697</v>
      </c>
      <c r="N171">
        <v>189</v>
      </c>
      <c r="O171">
        <v>886</v>
      </c>
      <c r="P171" s="6">
        <v>47520</v>
      </c>
      <c r="Q171" s="6">
        <v>0</v>
      </c>
      <c r="R171" s="6">
        <v>34891</v>
      </c>
      <c r="S171" s="6">
        <v>38142</v>
      </c>
      <c r="T171" s="6">
        <v>548686</v>
      </c>
      <c r="U171" s="6">
        <v>365431</v>
      </c>
      <c r="V171" s="6">
        <v>183255</v>
      </c>
    </row>
    <row r="172" spans="1:22" x14ac:dyDescent="0.25">
      <c r="A172">
        <v>2025</v>
      </c>
      <c r="B172" s="1" t="s">
        <v>13</v>
      </c>
      <c r="C172" t="s">
        <v>49</v>
      </c>
      <c r="D172" s="1" t="s">
        <v>576</v>
      </c>
      <c r="E172" t="s">
        <v>251</v>
      </c>
      <c r="F172" s="6">
        <v>271360</v>
      </c>
      <c r="G172" s="6">
        <v>205529</v>
      </c>
      <c r="H172" s="6">
        <v>44803</v>
      </c>
      <c r="I172" s="6">
        <v>160726</v>
      </c>
      <c r="J172" s="6">
        <v>65831</v>
      </c>
      <c r="K172">
        <v>0</v>
      </c>
      <c r="L172" s="6">
        <v>226557</v>
      </c>
      <c r="M172">
        <v>537</v>
      </c>
      <c r="N172">
        <v>172</v>
      </c>
      <c r="O172">
        <v>709</v>
      </c>
      <c r="P172" s="6">
        <v>26894</v>
      </c>
      <c r="Q172" s="6">
        <v>0</v>
      </c>
      <c r="R172" s="6">
        <v>18199</v>
      </c>
      <c r="S172" s="6">
        <v>20272</v>
      </c>
      <c r="T172" s="6">
        <v>292631</v>
      </c>
      <c r="U172" s="6">
        <v>188158</v>
      </c>
      <c r="V172" s="6">
        <v>104473</v>
      </c>
    </row>
    <row r="173" spans="1:22" x14ac:dyDescent="0.25">
      <c r="A173">
        <v>2025</v>
      </c>
      <c r="B173" s="1" t="s">
        <v>19</v>
      </c>
      <c r="C173" t="s">
        <v>55</v>
      </c>
      <c r="D173" s="1" t="s">
        <v>577</v>
      </c>
      <c r="E173" t="s">
        <v>252</v>
      </c>
      <c r="F173" s="6">
        <v>183472</v>
      </c>
      <c r="G173" s="6">
        <v>141998</v>
      </c>
      <c r="H173" s="6">
        <v>30954</v>
      </c>
      <c r="I173" s="6">
        <v>111044</v>
      </c>
      <c r="J173" s="6">
        <v>41474</v>
      </c>
      <c r="K173">
        <v>0</v>
      </c>
      <c r="L173" s="6">
        <v>152518</v>
      </c>
      <c r="M173">
        <v>270</v>
      </c>
      <c r="N173">
        <v>79</v>
      </c>
      <c r="O173">
        <v>349</v>
      </c>
      <c r="P173" s="6">
        <v>18497</v>
      </c>
      <c r="Q173" s="6">
        <v>0</v>
      </c>
      <c r="R173" s="6">
        <v>12237</v>
      </c>
      <c r="S173" s="6">
        <v>13700</v>
      </c>
      <c r="T173" s="6">
        <v>197301</v>
      </c>
      <c r="U173" s="6">
        <v>129811</v>
      </c>
      <c r="V173" s="6">
        <v>67490</v>
      </c>
    </row>
    <row r="174" spans="1:22" x14ac:dyDescent="0.25">
      <c r="A174">
        <v>2025</v>
      </c>
      <c r="B174" s="1" t="s">
        <v>17</v>
      </c>
      <c r="C174" t="s">
        <v>53</v>
      </c>
      <c r="D174" s="1" t="s">
        <v>578</v>
      </c>
      <c r="E174" t="s">
        <v>253</v>
      </c>
      <c r="F174" s="6">
        <v>693299</v>
      </c>
      <c r="G174" s="6">
        <v>548432</v>
      </c>
      <c r="H174" s="6">
        <v>119552</v>
      </c>
      <c r="I174" s="6">
        <v>428880</v>
      </c>
      <c r="J174" s="6">
        <v>144867</v>
      </c>
      <c r="K174">
        <v>0</v>
      </c>
      <c r="L174" s="6">
        <v>573747</v>
      </c>
      <c r="M174">
        <v>618</v>
      </c>
      <c r="N174">
        <v>164</v>
      </c>
      <c r="O174">
        <v>782</v>
      </c>
      <c r="P174" s="6">
        <v>65771</v>
      </c>
      <c r="Q174" s="6">
        <v>0</v>
      </c>
      <c r="R174" s="6">
        <v>47528</v>
      </c>
      <c r="S174" s="6">
        <v>52257</v>
      </c>
      <c r="T174" s="6">
        <v>740085</v>
      </c>
      <c r="U174" s="6">
        <v>495269</v>
      </c>
      <c r="V174" s="6">
        <v>244816</v>
      </c>
    </row>
    <row r="175" spans="1:22" x14ac:dyDescent="0.25">
      <c r="A175">
        <v>2025</v>
      </c>
      <c r="B175" s="1" t="s">
        <v>15</v>
      </c>
      <c r="C175" t="s">
        <v>51</v>
      </c>
      <c r="D175" s="1" t="s">
        <v>579</v>
      </c>
      <c r="E175" t="s">
        <v>254</v>
      </c>
      <c r="F175" s="6">
        <v>2114319</v>
      </c>
      <c r="G175" s="6">
        <v>1651811</v>
      </c>
      <c r="H175" s="6">
        <v>360078</v>
      </c>
      <c r="I175" s="6">
        <v>1291733</v>
      </c>
      <c r="J175" s="6">
        <v>462508</v>
      </c>
      <c r="K175">
        <v>0</v>
      </c>
      <c r="L175" s="6">
        <v>1754241</v>
      </c>
      <c r="M175" s="6">
        <v>2041</v>
      </c>
      <c r="N175">
        <v>572</v>
      </c>
      <c r="O175" s="6">
        <v>2613</v>
      </c>
      <c r="P175" s="6">
        <v>260374</v>
      </c>
      <c r="Q175" s="6">
        <v>0</v>
      </c>
      <c r="R175" s="6">
        <v>143917</v>
      </c>
      <c r="S175" s="6">
        <v>160440</v>
      </c>
      <c r="T175" s="6">
        <v>2321585</v>
      </c>
      <c r="U175" s="6">
        <v>1554149</v>
      </c>
      <c r="V175" s="6">
        <v>767436</v>
      </c>
    </row>
    <row r="176" spans="1:22" x14ac:dyDescent="0.25">
      <c r="A176">
        <v>2025</v>
      </c>
      <c r="B176" s="1" t="s">
        <v>18</v>
      </c>
      <c r="C176" t="s">
        <v>54</v>
      </c>
      <c r="D176" s="1" t="s">
        <v>580</v>
      </c>
      <c r="E176" t="s">
        <v>255</v>
      </c>
      <c r="F176" s="6">
        <v>180532</v>
      </c>
      <c r="G176" s="6">
        <v>145843</v>
      </c>
      <c r="H176" s="6">
        <v>31792</v>
      </c>
      <c r="I176" s="6">
        <v>114051</v>
      </c>
      <c r="J176" s="6">
        <v>34689</v>
      </c>
      <c r="K176">
        <v>0</v>
      </c>
      <c r="L176" s="6">
        <v>148740</v>
      </c>
      <c r="M176">
        <v>0</v>
      </c>
      <c r="N176">
        <v>0</v>
      </c>
      <c r="O176">
        <v>0</v>
      </c>
      <c r="P176" s="6">
        <v>15454</v>
      </c>
      <c r="Q176" s="6">
        <v>0</v>
      </c>
      <c r="R176" s="6">
        <v>12972</v>
      </c>
      <c r="S176" s="6">
        <v>14254</v>
      </c>
      <c r="T176" s="6">
        <v>191420</v>
      </c>
      <c r="U176" s="6">
        <v>129505</v>
      </c>
      <c r="V176" s="6">
        <v>61915</v>
      </c>
    </row>
    <row r="177" spans="1:22" x14ac:dyDescent="0.25">
      <c r="A177">
        <v>2025</v>
      </c>
      <c r="B177" s="1" t="s">
        <v>15</v>
      </c>
      <c r="C177" t="s">
        <v>51</v>
      </c>
      <c r="D177" s="1" t="s">
        <v>581</v>
      </c>
      <c r="E177" t="s">
        <v>256</v>
      </c>
      <c r="F177" s="6">
        <v>1376698</v>
      </c>
      <c r="G177" s="6">
        <v>1075545</v>
      </c>
      <c r="H177" s="6">
        <v>234458</v>
      </c>
      <c r="I177" s="6">
        <v>841087</v>
      </c>
      <c r="J177" s="6">
        <v>301153</v>
      </c>
      <c r="K177">
        <v>0</v>
      </c>
      <c r="L177" s="6">
        <v>1142240</v>
      </c>
      <c r="M177" s="6">
        <v>1328</v>
      </c>
      <c r="N177">
        <v>372</v>
      </c>
      <c r="O177" s="6">
        <v>1700</v>
      </c>
      <c r="P177" s="6">
        <v>169538</v>
      </c>
      <c r="Q177" s="6">
        <v>0</v>
      </c>
      <c r="R177" s="6">
        <v>99257</v>
      </c>
      <c r="S177" s="6">
        <v>110652</v>
      </c>
      <c r="T177" s="6">
        <v>1523387</v>
      </c>
      <c r="U177" s="6">
        <v>1011953</v>
      </c>
      <c r="V177" s="6">
        <v>511434</v>
      </c>
    </row>
    <row r="178" spans="1:22" x14ac:dyDescent="0.25">
      <c r="A178">
        <v>2025</v>
      </c>
      <c r="B178" s="1" t="s">
        <v>21</v>
      </c>
      <c r="C178" t="s">
        <v>57</v>
      </c>
      <c r="D178" s="1" t="s">
        <v>582</v>
      </c>
      <c r="E178" t="s">
        <v>257</v>
      </c>
      <c r="F178" s="6">
        <v>331349</v>
      </c>
      <c r="G178" s="6">
        <v>263409</v>
      </c>
      <c r="H178" s="6">
        <v>57421</v>
      </c>
      <c r="I178" s="6">
        <v>205988</v>
      </c>
      <c r="J178" s="6">
        <v>67940</v>
      </c>
      <c r="K178">
        <v>0</v>
      </c>
      <c r="L178" s="6">
        <v>273928</v>
      </c>
      <c r="M178">
        <v>610</v>
      </c>
      <c r="N178">
        <v>158</v>
      </c>
      <c r="O178">
        <v>768</v>
      </c>
      <c r="P178" s="6">
        <v>33326</v>
      </c>
      <c r="Q178" s="6">
        <v>0</v>
      </c>
      <c r="R178" s="6">
        <v>22597</v>
      </c>
      <c r="S178" s="6">
        <v>24843</v>
      </c>
      <c r="T178" s="6">
        <v>355462</v>
      </c>
      <c r="U178" s="6">
        <v>239925</v>
      </c>
      <c r="V178" s="6">
        <v>115537</v>
      </c>
    </row>
    <row r="179" spans="1:22" x14ac:dyDescent="0.25">
      <c r="A179">
        <v>2025</v>
      </c>
      <c r="B179" s="1" t="s">
        <v>18</v>
      </c>
      <c r="C179" t="s">
        <v>54</v>
      </c>
      <c r="D179" s="1" t="s">
        <v>583</v>
      </c>
      <c r="E179" t="s">
        <v>258</v>
      </c>
      <c r="F179" s="6">
        <v>105319</v>
      </c>
      <c r="G179" s="6">
        <v>85082</v>
      </c>
      <c r="H179" s="6">
        <v>18547</v>
      </c>
      <c r="I179" s="6">
        <v>66535</v>
      </c>
      <c r="J179" s="6">
        <v>20237</v>
      </c>
      <c r="K179" s="6">
        <v>11586</v>
      </c>
      <c r="L179" s="6">
        <v>98358</v>
      </c>
      <c r="M179">
        <v>0</v>
      </c>
      <c r="N179">
        <v>0</v>
      </c>
      <c r="O179">
        <v>0</v>
      </c>
      <c r="P179" s="6">
        <v>9476</v>
      </c>
      <c r="Q179" s="6">
        <v>0</v>
      </c>
      <c r="R179" s="6">
        <v>7198</v>
      </c>
      <c r="S179" s="6">
        <v>7909</v>
      </c>
      <c r="T179" s="6">
        <v>122941</v>
      </c>
      <c r="U179" s="6">
        <v>76011</v>
      </c>
      <c r="V179" s="6">
        <v>46930</v>
      </c>
    </row>
    <row r="180" spans="1:22" x14ac:dyDescent="0.25">
      <c r="A180">
        <v>2025</v>
      </c>
      <c r="B180" s="1" t="s">
        <v>13</v>
      </c>
      <c r="C180" t="s">
        <v>49</v>
      </c>
      <c r="D180" s="1" t="s">
        <v>584</v>
      </c>
      <c r="E180" t="s">
        <v>259</v>
      </c>
      <c r="F180" s="6">
        <v>325912</v>
      </c>
      <c r="G180" s="6">
        <v>246848</v>
      </c>
      <c r="H180" s="6">
        <v>53811</v>
      </c>
      <c r="I180" s="6">
        <v>193037</v>
      </c>
      <c r="J180" s="6">
        <v>79064</v>
      </c>
      <c r="K180">
        <v>0</v>
      </c>
      <c r="L180" s="6">
        <v>272101</v>
      </c>
      <c r="M180">
        <v>645</v>
      </c>
      <c r="N180">
        <v>207</v>
      </c>
      <c r="O180">
        <v>852</v>
      </c>
      <c r="P180" s="6">
        <v>32300</v>
      </c>
      <c r="Q180" s="6">
        <v>0</v>
      </c>
      <c r="R180" s="6">
        <v>20912</v>
      </c>
      <c r="S180" s="6">
        <v>23294</v>
      </c>
      <c r="T180" s="6">
        <v>349459</v>
      </c>
      <c r="U180" s="6">
        <v>225982</v>
      </c>
      <c r="V180" s="6">
        <v>123477</v>
      </c>
    </row>
    <row r="181" spans="1:22" x14ac:dyDescent="0.25">
      <c r="A181">
        <v>2025</v>
      </c>
      <c r="B181" s="1" t="s">
        <v>17</v>
      </c>
      <c r="C181" t="s">
        <v>53</v>
      </c>
      <c r="D181" s="1" t="s">
        <v>585</v>
      </c>
      <c r="E181" t="s">
        <v>260</v>
      </c>
      <c r="F181" s="6">
        <v>453966</v>
      </c>
      <c r="G181" s="6">
        <v>359108</v>
      </c>
      <c r="H181" s="6">
        <v>78282</v>
      </c>
      <c r="I181" s="6">
        <v>280826</v>
      </c>
      <c r="J181" s="6">
        <v>94858</v>
      </c>
      <c r="K181" s="6">
        <v>4847</v>
      </c>
      <c r="L181" s="6">
        <v>380531</v>
      </c>
      <c r="M181">
        <v>408</v>
      </c>
      <c r="N181">
        <v>107</v>
      </c>
      <c r="O181">
        <v>515</v>
      </c>
      <c r="P181" s="6">
        <v>43431</v>
      </c>
      <c r="Q181" s="6">
        <v>0</v>
      </c>
      <c r="R181" s="6">
        <v>31982</v>
      </c>
      <c r="S181" s="6">
        <v>35165</v>
      </c>
      <c r="T181" s="6">
        <v>491624</v>
      </c>
      <c r="U181" s="6">
        <v>324665</v>
      </c>
      <c r="V181" s="6">
        <v>166959</v>
      </c>
    </row>
    <row r="182" spans="1:22" x14ac:dyDescent="0.25">
      <c r="A182">
        <v>2025</v>
      </c>
      <c r="B182" s="1" t="s">
        <v>17</v>
      </c>
      <c r="C182" t="s">
        <v>53</v>
      </c>
      <c r="D182" s="1" t="s">
        <v>586</v>
      </c>
      <c r="E182" t="s">
        <v>261</v>
      </c>
      <c r="F182" s="6">
        <v>192429</v>
      </c>
      <c r="G182" s="6">
        <v>152221</v>
      </c>
      <c r="H182" s="6">
        <v>33183</v>
      </c>
      <c r="I182" s="6">
        <v>119038</v>
      </c>
      <c r="J182" s="6">
        <v>40208</v>
      </c>
      <c r="K182">
        <v>868</v>
      </c>
      <c r="L182" s="6">
        <v>160114</v>
      </c>
      <c r="M182">
        <v>173</v>
      </c>
      <c r="N182">
        <v>45</v>
      </c>
      <c r="O182">
        <v>218</v>
      </c>
      <c r="P182" s="6">
        <v>18255</v>
      </c>
      <c r="Q182" s="6">
        <v>0</v>
      </c>
      <c r="R182" s="6">
        <v>12614</v>
      </c>
      <c r="S182" s="6">
        <v>13870</v>
      </c>
      <c r="T182" s="6">
        <v>205071</v>
      </c>
      <c r="U182" s="6">
        <v>137465</v>
      </c>
      <c r="V182" s="6">
        <v>67606</v>
      </c>
    </row>
    <row r="183" spans="1:22" x14ac:dyDescent="0.25">
      <c r="A183">
        <v>2025</v>
      </c>
      <c r="B183" s="1" t="s">
        <v>20</v>
      </c>
      <c r="C183" t="s">
        <v>56</v>
      </c>
      <c r="D183" s="1" t="s">
        <v>587</v>
      </c>
      <c r="E183" t="s">
        <v>262</v>
      </c>
      <c r="F183" s="6">
        <v>287820</v>
      </c>
      <c r="G183" s="6">
        <v>227040</v>
      </c>
      <c r="H183" s="6">
        <v>49492</v>
      </c>
      <c r="I183" s="6">
        <v>177548</v>
      </c>
      <c r="J183" s="6">
        <v>60780</v>
      </c>
      <c r="K183" s="6">
        <v>5249</v>
      </c>
      <c r="L183" s="6">
        <v>243577</v>
      </c>
      <c r="M183">
        <v>467</v>
      </c>
      <c r="N183">
        <v>125</v>
      </c>
      <c r="O183">
        <v>592</v>
      </c>
      <c r="P183" s="6">
        <v>30093</v>
      </c>
      <c r="Q183" s="6">
        <v>0</v>
      </c>
      <c r="R183" s="6">
        <v>18708</v>
      </c>
      <c r="S183" s="6">
        <v>20684</v>
      </c>
      <c r="T183" s="6">
        <v>313654</v>
      </c>
      <c r="U183" s="6">
        <v>208108</v>
      </c>
      <c r="V183" s="6">
        <v>105546</v>
      </c>
    </row>
    <row r="184" spans="1:22" x14ac:dyDescent="0.25">
      <c r="A184">
        <v>2025</v>
      </c>
      <c r="B184" s="1" t="s">
        <v>19</v>
      </c>
      <c r="C184" t="s">
        <v>55</v>
      </c>
      <c r="D184" s="1" t="s">
        <v>588</v>
      </c>
      <c r="E184" t="s">
        <v>263</v>
      </c>
      <c r="F184" s="6">
        <v>595591</v>
      </c>
      <c r="G184" s="6">
        <v>460958</v>
      </c>
      <c r="H184" s="6">
        <v>100484</v>
      </c>
      <c r="I184" s="6">
        <v>360474</v>
      </c>
      <c r="J184" s="6">
        <v>134633</v>
      </c>
      <c r="K184">
        <v>0</v>
      </c>
      <c r="L184" s="6">
        <v>495107</v>
      </c>
      <c r="M184">
        <v>878</v>
      </c>
      <c r="N184">
        <v>256</v>
      </c>
      <c r="O184" s="6">
        <v>1134</v>
      </c>
      <c r="P184" s="6">
        <v>60044</v>
      </c>
      <c r="Q184" s="6">
        <v>0</v>
      </c>
      <c r="R184" s="6">
        <v>53069</v>
      </c>
      <c r="S184" s="6">
        <v>59412</v>
      </c>
      <c r="T184" s="6">
        <v>668766</v>
      </c>
      <c r="U184" s="6">
        <v>421395</v>
      </c>
      <c r="V184" s="6">
        <v>247371</v>
      </c>
    </row>
    <row r="185" spans="1:22" x14ac:dyDescent="0.25">
      <c r="A185">
        <v>2025</v>
      </c>
      <c r="B185" s="1" t="s">
        <v>15</v>
      </c>
      <c r="C185" t="s">
        <v>51</v>
      </c>
      <c r="D185" s="1" t="s">
        <v>589</v>
      </c>
      <c r="E185" t="s">
        <v>264</v>
      </c>
      <c r="F185" s="6">
        <v>176850</v>
      </c>
      <c r="G185" s="6">
        <v>138164</v>
      </c>
      <c r="H185" s="6">
        <v>30118</v>
      </c>
      <c r="I185" s="6">
        <v>108046</v>
      </c>
      <c r="J185" s="6">
        <v>38686</v>
      </c>
      <c r="K185" s="6">
        <v>4529</v>
      </c>
      <c r="L185" s="6">
        <v>151261</v>
      </c>
      <c r="M185">
        <v>170</v>
      </c>
      <c r="N185">
        <v>48</v>
      </c>
      <c r="O185">
        <v>218</v>
      </c>
      <c r="P185" s="6">
        <v>21865</v>
      </c>
      <c r="Q185" s="6">
        <v>0</v>
      </c>
      <c r="R185" s="6">
        <v>12087</v>
      </c>
      <c r="S185" s="6">
        <v>13475</v>
      </c>
      <c r="T185" s="6">
        <v>198906</v>
      </c>
      <c r="U185" s="6">
        <v>130082</v>
      </c>
      <c r="V185" s="6">
        <v>68824</v>
      </c>
    </row>
    <row r="186" spans="1:22" x14ac:dyDescent="0.25">
      <c r="A186">
        <v>2025</v>
      </c>
      <c r="B186" s="1" t="s">
        <v>17</v>
      </c>
      <c r="C186" t="s">
        <v>53</v>
      </c>
      <c r="D186" s="1" t="s">
        <v>590</v>
      </c>
      <c r="E186" t="s">
        <v>265</v>
      </c>
      <c r="F186" s="6">
        <v>371339</v>
      </c>
      <c r="G186" s="6">
        <v>293747</v>
      </c>
      <c r="H186" s="6">
        <v>64034</v>
      </c>
      <c r="I186" s="6">
        <v>229713</v>
      </c>
      <c r="J186" s="6">
        <v>77592</v>
      </c>
      <c r="K186">
        <v>0</v>
      </c>
      <c r="L186" s="6">
        <v>307305</v>
      </c>
      <c r="M186">
        <v>332</v>
      </c>
      <c r="N186">
        <v>88</v>
      </c>
      <c r="O186">
        <v>420</v>
      </c>
      <c r="P186" s="6">
        <v>35228</v>
      </c>
      <c r="Q186" s="6">
        <v>0</v>
      </c>
      <c r="R186" s="6">
        <v>25943</v>
      </c>
      <c r="S186" s="6">
        <v>28524</v>
      </c>
      <c r="T186" s="6">
        <v>397420</v>
      </c>
      <c r="U186" s="6">
        <v>265273</v>
      </c>
      <c r="V186" s="6">
        <v>132147</v>
      </c>
    </row>
    <row r="187" spans="1:22" x14ac:dyDescent="0.25">
      <c r="A187">
        <v>2025</v>
      </c>
      <c r="B187" s="1" t="s">
        <v>21</v>
      </c>
      <c r="C187" t="s">
        <v>57</v>
      </c>
      <c r="D187" s="1" t="s">
        <v>591</v>
      </c>
      <c r="E187" t="s">
        <v>266</v>
      </c>
      <c r="F187" s="6">
        <v>122909</v>
      </c>
      <c r="G187" s="6">
        <v>97708</v>
      </c>
      <c r="H187" s="6">
        <v>21299</v>
      </c>
      <c r="I187" s="6">
        <v>76409</v>
      </c>
      <c r="J187" s="6">
        <v>25201</v>
      </c>
      <c r="K187" s="6">
        <v>5655</v>
      </c>
      <c r="L187" s="6">
        <v>107265</v>
      </c>
      <c r="M187">
        <v>227</v>
      </c>
      <c r="N187">
        <v>58</v>
      </c>
      <c r="O187">
        <v>285</v>
      </c>
      <c r="P187" s="6">
        <v>12922</v>
      </c>
      <c r="Q187" s="6">
        <v>0</v>
      </c>
      <c r="R187" s="6">
        <v>8152</v>
      </c>
      <c r="S187" s="6">
        <v>8962</v>
      </c>
      <c r="T187" s="6">
        <v>137586</v>
      </c>
      <c r="U187" s="6">
        <v>89557</v>
      </c>
      <c r="V187" s="6">
        <v>48029</v>
      </c>
    </row>
    <row r="188" spans="1:22" x14ac:dyDescent="0.25">
      <c r="A188">
        <v>2025</v>
      </c>
      <c r="B188" s="1" t="s">
        <v>20</v>
      </c>
      <c r="C188" t="s">
        <v>56</v>
      </c>
      <c r="D188" s="1" t="s">
        <v>592</v>
      </c>
      <c r="E188" t="s">
        <v>267</v>
      </c>
      <c r="F188" s="6">
        <v>90317</v>
      </c>
      <c r="G188" s="6">
        <v>71245</v>
      </c>
      <c r="H188" s="6">
        <v>15531</v>
      </c>
      <c r="I188" s="6">
        <v>55714</v>
      </c>
      <c r="J188" s="6">
        <v>19072</v>
      </c>
      <c r="K188" s="6">
        <v>2551</v>
      </c>
      <c r="L188" s="6">
        <v>77337</v>
      </c>
      <c r="M188">
        <v>146</v>
      </c>
      <c r="N188">
        <v>39</v>
      </c>
      <c r="O188">
        <v>185</v>
      </c>
      <c r="P188" s="6">
        <v>9275</v>
      </c>
      <c r="Q188">
        <v>0</v>
      </c>
      <c r="R188" s="6">
        <v>5633</v>
      </c>
      <c r="S188" s="6">
        <v>6228</v>
      </c>
      <c r="T188" s="6">
        <v>98658</v>
      </c>
      <c r="U188" s="6">
        <v>65135</v>
      </c>
      <c r="V188" s="6">
        <v>33523</v>
      </c>
    </row>
    <row r="189" spans="1:22" x14ac:dyDescent="0.25">
      <c r="A189">
        <v>2025</v>
      </c>
      <c r="B189" s="1" t="s">
        <v>21</v>
      </c>
      <c r="C189" t="s">
        <v>57</v>
      </c>
      <c r="D189" s="1" t="s">
        <v>593</v>
      </c>
      <c r="E189" t="s">
        <v>268</v>
      </c>
      <c r="F189" s="6">
        <v>76202</v>
      </c>
      <c r="G189" s="6">
        <v>60577</v>
      </c>
      <c r="H189" s="6">
        <v>13205</v>
      </c>
      <c r="I189" s="6">
        <v>47372</v>
      </c>
      <c r="J189" s="6">
        <v>15625</v>
      </c>
      <c r="K189">
        <v>0</v>
      </c>
      <c r="L189" s="6">
        <v>62997</v>
      </c>
      <c r="M189">
        <v>140</v>
      </c>
      <c r="N189">
        <v>37</v>
      </c>
      <c r="O189">
        <v>177</v>
      </c>
      <c r="P189" s="6">
        <v>7664</v>
      </c>
      <c r="Q189">
        <v>0</v>
      </c>
      <c r="R189" s="6">
        <v>5070</v>
      </c>
      <c r="S189" s="6">
        <v>5574</v>
      </c>
      <c r="T189" s="6">
        <v>81482</v>
      </c>
      <c r="U189" s="6">
        <v>55177</v>
      </c>
      <c r="V189" s="6">
        <v>26305</v>
      </c>
    </row>
    <row r="190" spans="1:22" x14ac:dyDescent="0.25">
      <c r="A190">
        <v>2025</v>
      </c>
      <c r="B190" s="1" t="s">
        <v>21</v>
      </c>
      <c r="C190" t="s">
        <v>57</v>
      </c>
      <c r="D190" s="1" t="s">
        <v>594</v>
      </c>
      <c r="E190" t="s">
        <v>269</v>
      </c>
      <c r="F190" s="6">
        <v>72944</v>
      </c>
      <c r="G190" s="6">
        <v>57988</v>
      </c>
      <c r="H190" s="6">
        <v>12640</v>
      </c>
      <c r="I190" s="6">
        <v>45348</v>
      </c>
      <c r="J190" s="6">
        <v>14956</v>
      </c>
      <c r="K190" s="6">
        <v>1203</v>
      </c>
      <c r="L190" s="6">
        <v>61507</v>
      </c>
      <c r="M190">
        <v>135</v>
      </c>
      <c r="N190">
        <v>35</v>
      </c>
      <c r="O190">
        <v>170</v>
      </c>
      <c r="P190" s="6">
        <v>7337</v>
      </c>
      <c r="Q190">
        <v>0</v>
      </c>
      <c r="R190" s="6">
        <v>4968</v>
      </c>
      <c r="S190" s="6">
        <v>5462</v>
      </c>
      <c r="T190" s="6">
        <v>79444</v>
      </c>
      <c r="U190" s="6">
        <v>52820</v>
      </c>
      <c r="V190" s="6">
        <v>26624</v>
      </c>
    </row>
    <row r="191" spans="1:22" x14ac:dyDescent="0.25">
      <c r="A191">
        <v>2025</v>
      </c>
      <c r="B191" s="1" t="s">
        <v>20</v>
      </c>
      <c r="C191" t="s">
        <v>56</v>
      </c>
      <c r="D191" s="1" t="s">
        <v>595</v>
      </c>
      <c r="E191" t="s">
        <v>270</v>
      </c>
      <c r="F191" s="6">
        <v>238634</v>
      </c>
      <c r="G191" s="6">
        <v>188241</v>
      </c>
      <c r="H191" s="6">
        <v>41035</v>
      </c>
      <c r="I191" s="6">
        <v>147206</v>
      </c>
      <c r="J191" s="6">
        <v>50393</v>
      </c>
      <c r="K191">
        <v>0</v>
      </c>
      <c r="L191" s="6">
        <v>197599</v>
      </c>
      <c r="M191">
        <v>386</v>
      </c>
      <c r="N191">
        <v>103</v>
      </c>
      <c r="O191">
        <v>489</v>
      </c>
      <c r="P191" s="6">
        <v>24506</v>
      </c>
      <c r="Q191" s="6">
        <v>0</v>
      </c>
      <c r="R191" s="6">
        <v>15242</v>
      </c>
      <c r="S191" s="6">
        <v>16852</v>
      </c>
      <c r="T191" s="6">
        <v>254688</v>
      </c>
      <c r="U191" s="6">
        <v>172098</v>
      </c>
      <c r="V191" s="6">
        <v>82590</v>
      </c>
    </row>
    <row r="192" spans="1:22" x14ac:dyDescent="0.25">
      <c r="A192">
        <v>2025</v>
      </c>
      <c r="B192" s="1" t="s">
        <v>21</v>
      </c>
      <c r="C192" t="s">
        <v>57</v>
      </c>
      <c r="D192" s="1" t="s">
        <v>596</v>
      </c>
      <c r="E192" t="s">
        <v>271</v>
      </c>
      <c r="F192" s="6">
        <v>668907</v>
      </c>
      <c r="G192" s="6">
        <v>531754</v>
      </c>
      <c r="H192" s="6">
        <v>115917</v>
      </c>
      <c r="I192" s="6">
        <v>415837</v>
      </c>
      <c r="J192" s="6">
        <v>137153</v>
      </c>
      <c r="K192" s="6">
        <v>8217</v>
      </c>
      <c r="L192" s="6">
        <v>561207</v>
      </c>
      <c r="M192" s="6">
        <v>1231</v>
      </c>
      <c r="N192">
        <v>318</v>
      </c>
      <c r="O192" s="6">
        <v>1549</v>
      </c>
      <c r="P192" s="6">
        <v>68060</v>
      </c>
      <c r="Q192" s="6">
        <v>0</v>
      </c>
      <c r="R192" s="6">
        <v>44354</v>
      </c>
      <c r="S192" s="6">
        <v>48762</v>
      </c>
      <c r="T192" s="6">
        <v>723932</v>
      </c>
      <c r="U192" s="6">
        <v>485128</v>
      </c>
      <c r="V192" s="6">
        <v>238804</v>
      </c>
    </row>
    <row r="193" spans="1:22" x14ac:dyDescent="0.25">
      <c r="A193">
        <v>2025</v>
      </c>
      <c r="B193" s="1" t="s">
        <v>17</v>
      </c>
      <c r="C193" t="s">
        <v>53</v>
      </c>
      <c r="D193" s="1" t="s">
        <v>597</v>
      </c>
      <c r="E193" t="s">
        <v>272</v>
      </c>
      <c r="F193" s="6">
        <v>405055</v>
      </c>
      <c r="G193" s="6">
        <v>320417</v>
      </c>
      <c r="H193" s="6">
        <v>69848</v>
      </c>
      <c r="I193" s="6">
        <v>250569</v>
      </c>
      <c r="J193" s="6">
        <v>84638</v>
      </c>
      <c r="K193">
        <v>0</v>
      </c>
      <c r="L193" s="6">
        <v>335207</v>
      </c>
      <c r="M193">
        <v>362</v>
      </c>
      <c r="N193">
        <v>95</v>
      </c>
      <c r="O193">
        <v>457</v>
      </c>
      <c r="P193" s="6">
        <v>38426</v>
      </c>
      <c r="Q193" s="6">
        <v>0</v>
      </c>
      <c r="R193" s="6">
        <v>28797</v>
      </c>
      <c r="S193" s="6">
        <v>31663</v>
      </c>
      <c r="T193" s="6">
        <v>434550</v>
      </c>
      <c r="U193" s="6">
        <v>289357</v>
      </c>
      <c r="V193" s="6">
        <v>145193</v>
      </c>
    </row>
    <row r="194" spans="1:22" x14ac:dyDescent="0.25">
      <c r="A194">
        <v>2025</v>
      </c>
      <c r="B194" s="1" t="s">
        <v>20</v>
      </c>
      <c r="C194" t="s">
        <v>56</v>
      </c>
      <c r="D194" s="1" t="s">
        <v>598</v>
      </c>
      <c r="E194" t="s">
        <v>273</v>
      </c>
      <c r="F194" s="6">
        <v>86789</v>
      </c>
      <c r="G194" s="6">
        <v>68461</v>
      </c>
      <c r="H194" s="6">
        <v>14924</v>
      </c>
      <c r="I194" s="6">
        <v>53537</v>
      </c>
      <c r="J194" s="6">
        <v>18328</v>
      </c>
      <c r="K194" s="6">
        <v>1304</v>
      </c>
      <c r="L194" s="6">
        <v>73169</v>
      </c>
      <c r="M194">
        <v>140</v>
      </c>
      <c r="N194">
        <v>38</v>
      </c>
      <c r="O194">
        <v>178</v>
      </c>
      <c r="P194" s="6">
        <v>8913</v>
      </c>
      <c r="Q194">
        <v>0</v>
      </c>
      <c r="R194" s="6">
        <v>5658</v>
      </c>
      <c r="S194" s="6">
        <v>6256</v>
      </c>
      <c r="T194" s="6">
        <v>94174</v>
      </c>
      <c r="U194" s="6">
        <v>62591</v>
      </c>
      <c r="V194" s="6">
        <v>31583</v>
      </c>
    </row>
    <row r="195" spans="1:22" x14ac:dyDescent="0.25">
      <c r="A195">
        <v>2025</v>
      </c>
      <c r="B195" s="1" t="s">
        <v>16</v>
      </c>
      <c r="C195" t="s">
        <v>52</v>
      </c>
      <c r="D195" s="1" t="s">
        <v>599</v>
      </c>
      <c r="E195" t="s">
        <v>274</v>
      </c>
      <c r="F195" s="6">
        <v>1744085</v>
      </c>
      <c r="G195" s="6">
        <v>1371935</v>
      </c>
      <c r="H195" s="6">
        <v>299068</v>
      </c>
      <c r="I195" s="6">
        <v>1072867</v>
      </c>
      <c r="J195" s="6">
        <v>372150</v>
      </c>
      <c r="K195" s="6">
        <v>13597</v>
      </c>
      <c r="L195" s="6">
        <v>1458614</v>
      </c>
      <c r="M195" s="6">
        <v>2352</v>
      </c>
      <c r="N195">
        <v>638</v>
      </c>
      <c r="O195" s="6">
        <v>2990</v>
      </c>
      <c r="P195" s="6">
        <v>161493</v>
      </c>
      <c r="Q195" s="6">
        <v>0</v>
      </c>
      <c r="R195" s="6">
        <v>118700</v>
      </c>
      <c r="S195" s="6">
        <v>129760</v>
      </c>
      <c r="T195" s="6">
        <v>1871557</v>
      </c>
      <c r="U195" s="6">
        <v>1236712</v>
      </c>
      <c r="V195" s="6">
        <v>634845</v>
      </c>
    </row>
    <row r="196" spans="1:22" x14ac:dyDescent="0.25">
      <c r="A196">
        <v>2025</v>
      </c>
      <c r="B196" s="1" t="s">
        <v>15</v>
      </c>
      <c r="C196" t="s">
        <v>51</v>
      </c>
      <c r="D196" s="1" t="s">
        <v>600</v>
      </c>
      <c r="E196" t="s">
        <v>275</v>
      </c>
      <c r="F196" s="6">
        <v>229226</v>
      </c>
      <c r="G196" s="6">
        <v>179083</v>
      </c>
      <c r="H196" s="6">
        <v>39039</v>
      </c>
      <c r="I196" s="6">
        <v>140044</v>
      </c>
      <c r="J196" s="6">
        <v>50143</v>
      </c>
      <c r="K196">
        <v>0</v>
      </c>
      <c r="L196" s="6">
        <v>190187</v>
      </c>
      <c r="M196">
        <v>221</v>
      </c>
      <c r="N196">
        <v>62</v>
      </c>
      <c r="O196">
        <v>283</v>
      </c>
      <c r="P196" s="6">
        <v>28229</v>
      </c>
      <c r="Q196" s="6">
        <v>0</v>
      </c>
      <c r="R196" s="6">
        <v>15416</v>
      </c>
      <c r="S196" s="6">
        <v>17186</v>
      </c>
      <c r="T196" s="6">
        <v>251301</v>
      </c>
      <c r="U196" s="6">
        <v>168494</v>
      </c>
      <c r="V196" s="6">
        <v>82807</v>
      </c>
    </row>
    <row r="197" spans="1:22" x14ac:dyDescent="0.25">
      <c r="A197">
        <v>2025</v>
      </c>
      <c r="B197" s="1" t="s">
        <v>18</v>
      </c>
      <c r="C197" t="s">
        <v>54</v>
      </c>
      <c r="D197" s="1" t="s">
        <v>601</v>
      </c>
      <c r="E197" t="s">
        <v>276</v>
      </c>
      <c r="F197" s="6">
        <v>518138</v>
      </c>
      <c r="G197" s="6">
        <v>418578</v>
      </c>
      <c r="H197" s="6">
        <v>91246</v>
      </c>
      <c r="I197" s="6">
        <v>327332</v>
      </c>
      <c r="J197" s="6">
        <v>99560</v>
      </c>
      <c r="K197">
        <v>0</v>
      </c>
      <c r="L197" s="6">
        <v>426892</v>
      </c>
      <c r="M197">
        <v>0</v>
      </c>
      <c r="N197">
        <v>0</v>
      </c>
      <c r="O197">
        <v>0</v>
      </c>
      <c r="P197" s="6">
        <v>44354</v>
      </c>
      <c r="Q197" s="6">
        <v>0</v>
      </c>
      <c r="R197" s="6">
        <v>35483</v>
      </c>
      <c r="S197" s="6">
        <v>38988</v>
      </c>
      <c r="T197" s="6">
        <v>545717</v>
      </c>
      <c r="U197" s="6">
        <v>371686</v>
      </c>
      <c r="V197" s="6">
        <v>174031</v>
      </c>
    </row>
    <row r="198" spans="1:22" x14ac:dyDescent="0.25">
      <c r="A198">
        <v>2025</v>
      </c>
      <c r="B198" s="1" t="s">
        <v>13</v>
      </c>
      <c r="C198" t="s">
        <v>49</v>
      </c>
      <c r="D198" s="1" t="s">
        <v>602</v>
      </c>
      <c r="E198" t="s">
        <v>277</v>
      </c>
      <c r="F198" s="6">
        <v>383986</v>
      </c>
      <c r="G198" s="6">
        <v>290833</v>
      </c>
      <c r="H198" s="6">
        <v>63398</v>
      </c>
      <c r="I198" s="6">
        <v>227435</v>
      </c>
      <c r="J198" s="6">
        <v>93153</v>
      </c>
      <c r="K198">
        <v>0</v>
      </c>
      <c r="L198" s="6">
        <v>320588</v>
      </c>
      <c r="M198">
        <v>761</v>
      </c>
      <c r="N198">
        <v>244</v>
      </c>
      <c r="O198" s="6">
        <v>1005</v>
      </c>
      <c r="P198" s="6">
        <v>38056</v>
      </c>
      <c r="Q198" s="6">
        <v>0</v>
      </c>
      <c r="R198" s="6">
        <v>26518</v>
      </c>
      <c r="S198" s="6">
        <v>29538</v>
      </c>
      <c r="T198" s="6">
        <v>415705</v>
      </c>
      <c r="U198" s="6">
        <v>266253</v>
      </c>
      <c r="V198" s="6">
        <v>149452</v>
      </c>
    </row>
    <row r="199" spans="1:22" x14ac:dyDescent="0.25">
      <c r="A199">
        <v>2025</v>
      </c>
      <c r="B199" s="1" t="s">
        <v>21</v>
      </c>
      <c r="C199" t="s">
        <v>57</v>
      </c>
      <c r="D199" s="1" t="s">
        <v>603</v>
      </c>
      <c r="E199" t="s">
        <v>278</v>
      </c>
      <c r="F199" s="6">
        <v>202188</v>
      </c>
      <c r="G199" s="6">
        <v>160731</v>
      </c>
      <c r="H199" s="6">
        <v>35038</v>
      </c>
      <c r="I199" s="6">
        <v>125693</v>
      </c>
      <c r="J199" s="6">
        <v>41457</v>
      </c>
      <c r="K199">
        <v>0</v>
      </c>
      <c r="L199" s="6">
        <v>167150</v>
      </c>
      <c r="M199">
        <v>373</v>
      </c>
      <c r="N199">
        <v>96</v>
      </c>
      <c r="O199">
        <v>469</v>
      </c>
      <c r="P199" s="6">
        <v>20335</v>
      </c>
      <c r="Q199" s="6">
        <v>0</v>
      </c>
      <c r="R199" s="6">
        <v>13655</v>
      </c>
      <c r="S199" s="6">
        <v>15012</v>
      </c>
      <c r="T199" s="6">
        <v>216621</v>
      </c>
      <c r="U199" s="6">
        <v>146401</v>
      </c>
      <c r="V199" s="6">
        <v>70220</v>
      </c>
    </row>
    <row r="200" spans="1:22" x14ac:dyDescent="0.25">
      <c r="A200">
        <v>2025</v>
      </c>
      <c r="B200" s="1" t="s">
        <v>14</v>
      </c>
      <c r="C200" t="s">
        <v>50</v>
      </c>
      <c r="D200" s="1" t="s">
        <v>604</v>
      </c>
      <c r="E200" t="s">
        <v>279</v>
      </c>
      <c r="F200" s="6">
        <v>185583</v>
      </c>
      <c r="G200" s="6">
        <v>142258</v>
      </c>
      <c r="H200" s="6">
        <v>31011</v>
      </c>
      <c r="I200" s="6">
        <v>111247</v>
      </c>
      <c r="J200" s="6">
        <v>43325</v>
      </c>
      <c r="K200" s="6">
        <v>2559</v>
      </c>
      <c r="L200" s="6">
        <v>157131</v>
      </c>
      <c r="M200">
        <v>0</v>
      </c>
      <c r="N200">
        <v>0</v>
      </c>
      <c r="O200">
        <v>0</v>
      </c>
      <c r="P200" s="6">
        <v>19931</v>
      </c>
      <c r="Q200" s="6">
        <v>0</v>
      </c>
      <c r="R200" s="6">
        <v>12455</v>
      </c>
      <c r="S200" s="6">
        <v>13948</v>
      </c>
      <c r="T200" s="6">
        <v>203465</v>
      </c>
      <c r="U200" s="6">
        <v>131178</v>
      </c>
      <c r="V200" s="6">
        <v>72287</v>
      </c>
    </row>
    <row r="201" spans="1:22" x14ac:dyDescent="0.25">
      <c r="A201">
        <v>2025</v>
      </c>
      <c r="B201" s="1" t="s">
        <v>18</v>
      </c>
      <c r="C201" t="s">
        <v>54</v>
      </c>
      <c r="D201" s="1" t="s">
        <v>605</v>
      </c>
      <c r="E201" t="s">
        <v>280</v>
      </c>
      <c r="F201" s="6">
        <v>1153189</v>
      </c>
      <c r="G201" s="6">
        <v>931605</v>
      </c>
      <c r="H201" s="6">
        <v>203080</v>
      </c>
      <c r="I201" s="6">
        <v>728525</v>
      </c>
      <c r="J201" s="6">
        <v>221584</v>
      </c>
      <c r="K201">
        <v>0</v>
      </c>
      <c r="L201" s="6">
        <v>950109</v>
      </c>
      <c r="M201">
        <v>0</v>
      </c>
      <c r="N201">
        <v>0</v>
      </c>
      <c r="O201">
        <v>0</v>
      </c>
      <c r="P201" s="6">
        <v>98716</v>
      </c>
      <c r="Q201" s="6">
        <v>0</v>
      </c>
      <c r="R201" s="6">
        <v>76613</v>
      </c>
      <c r="S201" s="6">
        <v>84179</v>
      </c>
      <c r="T201" s="6">
        <v>1209617</v>
      </c>
      <c r="U201" s="6">
        <v>827241</v>
      </c>
      <c r="V201" s="6">
        <v>382376</v>
      </c>
    </row>
    <row r="202" spans="1:22" x14ac:dyDescent="0.25">
      <c r="A202">
        <v>2025</v>
      </c>
      <c r="B202" s="1" t="s">
        <v>20</v>
      </c>
      <c r="C202" t="s">
        <v>56</v>
      </c>
      <c r="D202" s="1" t="s">
        <v>606</v>
      </c>
      <c r="E202" t="s">
        <v>281</v>
      </c>
      <c r="F202" s="6">
        <v>258918</v>
      </c>
      <c r="G202" s="6">
        <v>204242</v>
      </c>
      <c r="H202" s="6">
        <v>44522</v>
      </c>
      <c r="I202" s="6">
        <v>159720</v>
      </c>
      <c r="J202" s="6">
        <v>54676</v>
      </c>
      <c r="K202">
        <v>0</v>
      </c>
      <c r="L202" s="6">
        <v>214396</v>
      </c>
      <c r="M202">
        <v>421</v>
      </c>
      <c r="N202">
        <v>113</v>
      </c>
      <c r="O202">
        <v>534</v>
      </c>
      <c r="P202" s="6">
        <v>26589</v>
      </c>
      <c r="Q202" s="6">
        <v>0</v>
      </c>
      <c r="R202" s="6">
        <v>17255</v>
      </c>
      <c r="S202" s="6">
        <v>19078</v>
      </c>
      <c r="T202" s="6">
        <v>277852</v>
      </c>
      <c r="U202" s="6">
        <v>186730</v>
      </c>
      <c r="V202" s="6">
        <v>91122</v>
      </c>
    </row>
    <row r="203" spans="1:22" x14ac:dyDescent="0.25">
      <c r="A203">
        <v>2025</v>
      </c>
      <c r="B203" s="1" t="s">
        <v>15</v>
      </c>
      <c r="C203" t="s">
        <v>51</v>
      </c>
      <c r="D203" s="1" t="s">
        <v>607</v>
      </c>
      <c r="E203" t="s">
        <v>282</v>
      </c>
      <c r="F203" s="6">
        <v>205241</v>
      </c>
      <c r="G203" s="6">
        <v>160345</v>
      </c>
      <c r="H203" s="6">
        <v>34953</v>
      </c>
      <c r="I203" s="6">
        <v>125392</v>
      </c>
      <c r="J203" s="6">
        <v>44896</v>
      </c>
      <c r="K203" s="6">
        <v>3972</v>
      </c>
      <c r="L203" s="6">
        <v>174260</v>
      </c>
      <c r="M203">
        <v>197</v>
      </c>
      <c r="N203">
        <v>55</v>
      </c>
      <c r="O203">
        <v>252</v>
      </c>
      <c r="P203" s="6">
        <v>25784</v>
      </c>
      <c r="Q203" s="6">
        <v>0</v>
      </c>
      <c r="R203" s="6">
        <v>13265</v>
      </c>
      <c r="S203" s="6">
        <v>14788</v>
      </c>
      <c r="T203" s="6">
        <v>228349</v>
      </c>
      <c r="U203" s="6">
        <v>151373</v>
      </c>
      <c r="V203" s="6">
        <v>76976</v>
      </c>
    </row>
    <row r="204" spans="1:22" x14ac:dyDescent="0.25">
      <c r="A204">
        <v>2025</v>
      </c>
      <c r="B204" s="1" t="s">
        <v>17</v>
      </c>
      <c r="C204" t="s">
        <v>53</v>
      </c>
      <c r="D204" s="1" t="s">
        <v>608</v>
      </c>
      <c r="E204" t="s">
        <v>283</v>
      </c>
      <c r="F204" s="6">
        <v>276162</v>
      </c>
      <c r="G204" s="6">
        <v>218457</v>
      </c>
      <c r="H204" s="6">
        <v>47622</v>
      </c>
      <c r="I204" s="6">
        <v>170835</v>
      </c>
      <c r="J204" s="6">
        <v>57705</v>
      </c>
      <c r="K204" s="6">
        <v>4862</v>
      </c>
      <c r="L204" s="6">
        <v>233402</v>
      </c>
      <c r="M204">
        <v>248</v>
      </c>
      <c r="N204">
        <v>66</v>
      </c>
      <c r="O204">
        <v>314</v>
      </c>
      <c r="P204" s="6">
        <v>26538</v>
      </c>
      <c r="Q204" s="6">
        <v>0</v>
      </c>
      <c r="R204" s="6">
        <v>17941</v>
      </c>
      <c r="S204" s="6">
        <v>19726</v>
      </c>
      <c r="T204" s="6">
        <v>297921</v>
      </c>
      <c r="U204" s="6">
        <v>197621</v>
      </c>
      <c r="V204" s="6">
        <v>100300</v>
      </c>
    </row>
    <row r="205" spans="1:22" x14ac:dyDescent="0.25">
      <c r="A205">
        <v>2025</v>
      </c>
      <c r="B205" s="1" t="s">
        <v>13</v>
      </c>
      <c r="C205" t="s">
        <v>49</v>
      </c>
      <c r="D205" s="1" t="s">
        <v>609</v>
      </c>
      <c r="E205" t="s">
        <v>284</v>
      </c>
      <c r="F205" s="6">
        <v>469249</v>
      </c>
      <c r="G205" s="6">
        <v>355412</v>
      </c>
      <c r="H205" s="6">
        <v>77476</v>
      </c>
      <c r="I205" s="6">
        <v>277936</v>
      </c>
      <c r="J205" s="6">
        <v>113837</v>
      </c>
      <c r="K205">
        <v>0</v>
      </c>
      <c r="L205" s="6">
        <v>391773</v>
      </c>
      <c r="M205">
        <v>929</v>
      </c>
      <c r="N205">
        <v>297</v>
      </c>
      <c r="O205" s="6">
        <v>1226</v>
      </c>
      <c r="P205" s="6">
        <v>46506</v>
      </c>
      <c r="Q205" s="6">
        <v>0</v>
      </c>
      <c r="R205" s="6">
        <v>28412</v>
      </c>
      <c r="S205" s="6">
        <v>31648</v>
      </c>
      <c r="T205" s="6">
        <v>499565</v>
      </c>
      <c r="U205" s="6">
        <v>325371</v>
      </c>
      <c r="V205" s="6">
        <v>174194</v>
      </c>
    </row>
    <row r="206" spans="1:22" x14ac:dyDescent="0.25">
      <c r="A206">
        <v>2025</v>
      </c>
      <c r="B206" s="1" t="s">
        <v>15</v>
      </c>
      <c r="C206" t="s">
        <v>51</v>
      </c>
      <c r="D206" s="1" t="s">
        <v>610</v>
      </c>
      <c r="E206" t="s">
        <v>285</v>
      </c>
      <c r="F206" s="6">
        <v>189016</v>
      </c>
      <c r="G206" s="6">
        <v>147668</v>
      </c>
      <c r="H206" s="6">
        <v>32191</v>
      </c>
      <c r="I206" s="6">
        <v>115477</v>
      </c>
      <c r="J206" s="6">
        <v>41348</v>
      </c>
      <c r="K206">
        <v>0</v>
      </c>
      <c r="L206" s="6">
        <v>156825</v>
      </c>
      <c r="M206">
        <v>184</v>
      </c>
      <c r="N206">
        <v>51</v>
      </c>
      <c r="O206">
        <v>235</v>
      </c>
      <c r="P206" s="6">
        <v>23277</v>
      </c>
      <c r="Q206" s="6">
        <v>0</v>
      </c>
      <c r="R206" s="6">
        <v>12087</v>
      </c>
      <c r="S206" s="6">
        <v>13475</v>
      </c>
      <c r="T206" s="6">
        <v>205899</v>
      </c>
      <c r="U206" s="6">
        <v>138938</v>
      </c>
      <c r="V206" s="6">
        <v>66961</v>
      </c>
    </row>
    <row r="207" spans="1:22" x14ac:dyDescent="0.25">
      <c r="A207">
        <v>2025</v>
      </c>
      <c r="B207" s="1" t="s">
        <v>14</v>
      </c>
      <c r="C207" t="s">
        <v>50</v>
      </c>
      <c r="D207" s="1" t="s">
        <v>611</v>
      </c>
      <c r="E207" t="s">
        <v>286</v>
      </c>
      <c r="F207" s="6">
        <v>101770</v>
      </c>
      <c r="G207" s="6">
        <v>78011</v>
      </c>
      <c r="H207" s="6">
        <v>17006</v>
      </c>
      <c r="I207" s="6">
        <v>61005</v>
      </c>
      <c r="J207" s="6">
        <v>23759</v>
      </c>
      <c r="K207" s="6">
        <v>7251</v>
      </c>
      <c r="L207" s="6">
        <v>92015</v>
      </c>
      <c r="M207">
        <v>0</v>
      </c>
      <c r="N207">
        <v>0</v>
      </c>
      <c r="O207">
        <v>0</v>
      </c>
      <c r="P207" s="6">
        <v>10774</v>
      </c>
      <c r="Q207" s="6">
        <v>0</v>
      </c>
      <c r="R207" s="6">
        <v>6868</v>
      </c>
      <c r="S207" s="6">
        <v>7692</v>
      </c>
      <c r="T207" s="6">
        <v>117349</v>
      </c>
      <c r="U207" s="6">
        <v>71779</v>
      </c>
      <c r="V207" s="6">
        <v>45570</v>
      </c>
    </row>
    <row r="208" spans="1:22" x14ac:dyDescent="0.25">
      <c r="A208">
        <v>2025</v>
      </c>
      <c r="B208" s="1" t="s">
        <v>17</v>
      </c>
      <c r="C208" t="s">
        <v>53</v>
      </c>
      <c r="D208" s="1" t="s">
        <v>612</v>
      </c>
      <c r="E208" t="s">
        <v>287</v>
      </c>
      <c r="F208" s="6">
        <v>200560</v>
      </c>
      <c r="G208" s="6">
        <v>158652</v>
      </c>
      <c r="H208" s="6">
        <v>34584</v>
      </c>
      <c r="I208" s="6">
        <v>124068</v>
      </c>
      <c r="J208" s="6">
        <v>41908</v>
      </c>
      <c r="K208" s="6">
        <v>15209</v>
      </c>
      <c r="L208" s="6">
        <v>181185</v>
      </c>
      <c r="M208">
        <v>181</v>
      </c>
      <c r="N208">
        <v>48</v>
      </c>
      <c r="O208">
        <v>229</v>
      </c>
      <c r="P208" s="6">
        <v>19026</v>
      </c>
      <c r="Q208" s="6">
        <v>0</v>
      </c>
      <c r="R208" s="6">
        <v>13991</v>
      </c>
      <c r="S208" s="6">
        <v>15383</v>
      </c>
      <c r="T208" s="6">
        <v>229814</v>
      </c>
      <c r="U208" s="6">
        <v>143275</v>
      </c>
      <c r="V208" s="6">
        <v>86539</v>
      </c>
    </row>
    <row r="209" spans="1:22" x14ac:dyDescent="0.25">
      <c r="A209">
        <v>2025</v>
      </c>
      <c r="B209" s="1" t="s">
        <v>21</v>
      </c>
      <c r="C209" t="s">
        <v>57</v>
      </c>
      <c r="D209" s="1" t="s">
        <v>613</v>
      </c>
      <c r="E209" t="s">
        <v>288</v>
      </c>
      <c r="F209" s="6">
        <v>181745</v>
      </c>
      <c r="G209" s="6">
        <v>144480</v>
      </c>
      <c r="H209" s="6">
        <v>31495</v>
      </c>
      <c r="I209" s="6">
        <v>112985</v>
      </c>
      <c r="J209" s="6">
        <v>37265</v>
      </c>
      <c r="K209" s="6">
        <v>4909</v>
      </c>
      <c r="L209" s="6">
        <v>155159</v>
      </c>
      <c r="M209">
        <v>335</v>
      </c>
      <c r="N209">
        <v>86</v>
      </c>
      <c r="O209">
        <v>421</v>
      </c>
      <c r="P209" s="6">
        <v>18761</v>
      </c>
      <c r="Q209" s="6">
        <v>0</v>
      </c>
      <c r="R209" s="6">
        <v>12789</v>
      </c>
      <c r="S209" s="6">
        <v>14060</v>
      </c>
      <c r="T209" s="6">
        <v>201190</v>
      </c>
      <c r="U209" s="6">
        <v>132081</v>
      </c>
      <c r="V209" s="6">
        <v>69109</v>
      </c>
    </row>
    <row r="210" spans="1:22" x14ac:dyDescent="0.25">
      <c r="A210">
        <v>2025</v>
      </c>
      <c r="B210" s="1" t="s">
        <v>18</v>
      </c>
      <c r="C210" t="s">
        <v>54</v>
      </c>
      <c r="D210" s="1" t="s">
        <v>614</v>
      </c>
      <c r="E210" t="s">
        <v>289</v>
      </c>
      <c r="F210" s="6">
        <v>771717</v>
      </c>
      <c r="G210" s="6">
        <v>623433</v>
      </c>
      <c r="H210" s="6">
        <v>135902</v>
      </c>
      <c r="I210" s="6">
        <v>487531</v>
      </c>
      <c r="J210" s="6">
        <v>148284</v>
      </c>
      <c r="K210">
        <v>0</v>
      </c>
      <c r="L210" s="6">
        <v>635815</v>
      </c>
      <c r="M210">
        <v>0</v>
      </c>
      <c r="N210">
        <v>0</v>
      </c>
      <c r="O210">
        <v>0</v>
      </c>
      <c r="P210" s="6">
        <v>66061</v>
      </c>
      <c r="Q210" s="6">
        <v>0</v>
      </c>
      <c r="R210" s="6">
        <v>55832</v>
      </c>
      <c r="S210" s="6">
        <v>61346</v>
      </c>
      <c r="T210" s="6">
        <v>819054</v>
      </c>
      <c r="U210" s="6">
        <v>553592</v>
      </c>
      <c r="V210" s="6">
        <v>265462</v>
      </c>
    </row>
    <row r="211" spans="1:22" x14ac:dyDescent="0.25">
      <c r="A211">
        <v>2025</v>
      </c>
      <c r="B211" s="1" t="s">
        <v>16</v>
      </c>
      <c r="C211" t="s">
        <v>52</v>
      </c>
      <c r="D211" s="1" t="s">
        <v>615</v>
      </c>
      <c r="E211" t="s">
        <v>290</v>
      </c>
      <c r="F211" s="6">
        <v>1133784</v>
      </c>
      <c r="G211" s="6">
        <v>891859</v>
      </c>
      <c r="H211" s="6">
        <v>194416</v>
      </c>
      <c r="I211" s="6">
        <v>697443</v>
      </c>
      <c r="J211" s="6">
        <v>241925</v>
      </c>
      <c r="K211" s="6">
        <v>5964</v>
      </c>
      <c r="L211" s="6">
        <v>945332</v>
      </c>
      <c r="M211" s="6">
        <v>1528</v>
      </c>
      <c r="N211">
        <v>415</v>
      </c>
      <c r="O211" s="6">
        <v>1943</v>
      </c>
      <c r="P211" s="6">
        <v>104718</v>
      </c>
      <c r="Q211" s="6">
        <v>0</v>
      </c>
      <c r="R211" s="6">
        <v>78066</v>
      </c>
      <c r="S211" s="6">
        <v>85340</v>
      </c>
      <c r="T211" s="6">
        <v>1215399</v>
      </c>
      <c r="U211" s="6">
        <v>803689</v>
      </c>
      <c r="V211" s="6">
        <v>411710</v>
      </c>
    </row>
    <row r="212" spans="1:22" x14ac:dyDescent="0.25">
      <c r="A212">
        <v>2025</v>
      </c>
      <c r="B212" s="1" t="s">
        <v>15</v>
      </c>
      <c r="C212" t="s">
        <v>51</v>
      </c>
      <c r="D212" s="1" t="s">
        <v>616</v>
      </c>
      <c r="E212" t="s">
        <v>291</v>
      </c>
      <c r="F212" s="6">
        <v>178136</v>
      </c>
      <c r="G212" s="6">
        <v>139169</v>
      </c>
      <c r="H212" s="6">
        <v>30338</v>
      </c>
      <c r="I212" s="6">
        <v>108831</v>
      </c>
      <c r="J212" s="6">
        <v>38967</v>
      </c>
      <c r="K212">
        <v>0</v>
      </c>
      <c r="L212" s="6">
        <v>147798</v>
      </c>
      <c r="M212">
        <v>173</v>
      </c>
      <c r="N212">
        <v>48</v>
      </c>
      <c r="O212">
        <v>221</v>
      </c>
      <c r="P212" s="6">
        <v>21937</v>
      </c>
      <c r="Q212" s="6">
        <v>0</v>
      </c>
      <c r="R212" s="6">
        <v>11549</v>
      </c>
      <c r="S212" s="6">
        <v>12875</v>
      </c>
      <c r="T212" s="6">
        <v>194380</v>
      </c>
      <c r="U212" s="6">
        <v>130941</v>
      </c>
      <c r="V212" s="6">
        <v>63439</v>
      </c>
    </row>
    <row r="213" spans="1:22" x14ac:dyDescent="0.25">
      <c r="A213">
        <v>2025</v>
      </c>
      <c r="B213" s="1" t="s">
        <v>14</v>
      </c>
      <c r="C213" t="s">
        <v>50</v>
      </c>
      <c r="D213" s="1" t="s">
        <v>617</v>
      </c>
      <c r="E213" t="s">
        <v>292</v>
      </c>
      <c r="F213" s="6">
        <v>157207</v>
      </c>
      <c r="G213" s="6">
        <v>120506</v>
      </c>
      <c r="H213" s="6">
        <v>26269</v>
      </c>
      <c r="I213" s="6">
        <v>94237</v>
      </c>
      <c r="J213" s="6">
        <v>36701</v>
      </c>
      <c r="K213" s="6">
        <v>13028</v>
      </c>
      <c r="L213" s="6">
        <v>143966</v>
      </c>
      <c r="M213">
        <v>0</v>
      </c>
      <c r="N213">
        <v>0</v>
      </c>
      <c r="O213">
        <v>0</v>
      </c>
      <c r="P213" s="6">
        <v>16643</v>
      </c>
      <c r="Q213" s="6">
        <v>0</v>
      </c>
      <c r="R213" s="6">
        <v>10559</v>
      </c>
      <c r="S213" s="6">
        <v>11824</v>
      </c>
      <c r="T213" s="6">
        <v>182992</v>
      </c>
      <c r="U213" s="6">
        <v>110880</v>
      </c>
      <c r="V213" s="6">
        <v>72112</v>
      </c>
    </row>
    <row r="214" spans="1:22" x14ac:dyDescent="0.25">
      <c r="A214">
        <v>2025</v>
      </c>
      <c r="B214" s="1" t="s">
        <v>16</v>
      </c>
      <c r="C214" t="s">
        <v>52</v>
      </c>
      <c r="D214" s="1" t="s">
        <v>618</v>
      </c>
      <c r="E214" t="s">
        <v>293</v>
      </c>
      <c r="F214" s="6">
        <v>193450</v>
      </c>
      <c r="G214" s="6">
        <v>152172</v>
      </c>
      <c r="H214" s="6">
        <v>33172</v>
      </c>
      <c r="I214" s="6">
        <v>119000</v>
      </c>
      <c r="J214" s="6">
        <v>41278</v>
      </c>
      <c r="K214" s="6">
        <v>4623</v>
      </c>
      <c r="L214" s="6">
        <v>164901</v>
      </c>
      <c r="M214">
        <v>262</v>
      </c>
      <c r="N214">
        <v>71</v>
      </c>
      <c r="O214">
        <v>333</v>
      </c>
      <c r="P214" s="6">
        <v>18199</v>
      </c>
      <c r="Q214" s="6">
        <v>0</v>
      </c>
      <c r="R214" s="6">
        <v>13011</v>
      </c>
      <c r="S214" s="6">
        <v>14223</v>
      </c>
      <c r="T214" s="6">
        <v>210667</v>
      </c>
      <c r="U214" s="6">
        <v>137461</v>
      </c>
      <c r="V214" s="6">
        <v>73206</v>
      </c>
    </row>
    <row r="215" spans="1:22" x14ac:dyDescent="0.25">
      <c r="A215">
        <v>2025</v>
      </c>
      <c r="B215" s="1" t="s">
        <v>15</v>
      </c>
      <c r="C215" t="s">
        <v>51</v>
      </c>
      <c r="D215" s="1" t="s">
        <v>619</v>
      </c>
      <c r="E215" t="s">
        <v>294</v>
      </c>
      <c r="F215" s="6">
        <v>201143</v>
      </c>
      <c r="G215" s="6">
        <v>157143</v>
      </c>
      <c r="H215" s="6">
        <v>34255</v>
      </c>
      <c r="I215" s="6">
        <v>122888</v>
      </c>
      <c r="J215" s="6">
        <v>44000</v>
      </c>
      <c r="K215">
        <v>0</v>
      </c>
      <c r="L215" s="6">
        <v>166888</v>
      </c>
      <c r="M215">
        <v>194</v>
      </c>
      <c r="N215">
        <v>55</v>
      </c>
      <c r="O215">
        <v>249</v>
      </c>
      <c r="P215" s="6">
        <v>24770</v>
      </c>
      <c r="Q215" s="6">
        <v>0</v>
      </c>
      <c r="R215" s="6">
        <v>13137</v>
      </c>
      <c r="S215" s="6">
        <v>14645</v>
      </c>
      <c r="T215" s="6">
        <v>219689</v>
      </c>
      <c r="U215" s="6">
        <v>147852</v>
      </c>
      <c r="V215" s="6">
        <v>71837</v>
      </c>
    </row>
    <row r="216" spans="1:22" x14ac:dyDescent="0.25">
      <c r="A216">
        <v>2025</v>
      </c>
      <c r="B216" s="1" t="s">
        <v>18</v>
      </c>
      <c r="C216" t="s">
        <v>54</v>
      </c>
      <c r="D216" s="1" t="s">
        <v>620</v>
      </c>
      <c r="E216" t="s">
        <v>295</v>
      </c>
      <c r="F216" s="6">
        <v>1275236</v>
      </c>
      <c r="G216" s="6">
        <v>1030201</v>
      </c>
      <c r="H216" s="6">
        <v>224574</v>
      </c>
      <c r="I216" s="6">
        <v>805627</v>
      </c>
      <c r="J216" s="6">
        <v>245035</v>
      </c>
      <c r="K216">
        <v>0</v>
      </c>
      <c r="L216" s="6">
        <v>1050662</v>
      </c>
      <c r="M216">
        <v>0</v>
      </c>
      <c r="N216">
        <v>0</v>
      </c>
      <c r="O216">
        <v>0</v>
      </c>
      <c r="P216" s="6">
        <v>109163</v>
      </c>
      <c r="Q216" s="6">
        <v>0</v>
      </c>
      <c r="R216" s="6">
        <v>90628</v>
      </c>
      <c r="S216" s="6">
        <v>99579</v>
      </c>
      <c r="T216" s="6">
        <v>1350032</v>
      </c>
      <c r="U216" s="6">
        <v>914790</v>
      </c>
      <c r="V216" s="6">
        <v>435242</v>
      </c>
    </row>
    <row r="217" spans="1:22" x14ac:dyDescent="0.25">
      <c r="A217">
        <v>2025</v>
      </c>
      <c r="B217" s="1" t="s">
        <v>19</v>
      </c>
      <c r="C217" t="s">
        <v>55</v>
      </c>
      <c r="D217" s="1" t="s">
        <v>621</v>
      </c>
      <c r="E217" t="s">
        <v>296</v>
      </c>
      <c r="F217" s="6">
        <v>360941</v>
      </c>
      <c r="G217" s="6">
        <v>279350</v>
      </c>
      <c r="H217" s="6">
        <v>60896</v>
      </c>
      <c r="I217" s="6">
        <v>218454</v>
      </c>
      <c r="J217" s="6">
        <v>81591</v>
      </c>
      <c r="K217">
        <v>0</v>
      </c>
      <c r="L217" s="6">
        <v>300045</v>
      </c>
      <c r="M217">
        <v>532</v>
      </c>
      <c r="N217">
        <v>155</v>
      </c>
      <c r="O217">
        <v>687</v>
      </c>
      <c r="P217" s="6">
        <v>36388</v>
      </c>
      <c r="Q217" s="6">
        <v>0</v>
      </c>
      <c r="R217" s="6">
        <v>23578</v>
      </c>
      <c r="S217" s="6">
        <v>26396</v>
      </c>
      <c r="T217" s="6">
        <v>387094</v>
      </c>
      <c r="U217" s="6">
        <v>255374</v>
      </c>
      <c r="V217" s="6">
        <v>131720</v>
      </c>
    </row>
    <row r="218" spans="1:22" x14ac:dyDescent="0.25">
      <c r="A218">
        <v>2025</v>
      </c>
      <c r="B218" s="1" t="s">
        <v>13</v>
      </c>
      <c r="C218" t="s">
        <v>49</v>
      </c>
      <c r="D218" s="1" t="s">
        <v>622</v>
      </c>
      <c r="E218" t="s">
        <v>297</v>
      </c>
      <c r="F218" s="6">
        <v>565933</v>
      </c>
      <c r="G218" s="6">
        <v>428641</v>
      </c>
      <c r="H218" s="6">
        <v>93440</v>
      </c>
      <c r="I218" s="6">
        <v>335201</v>
      </c>
      <c r="J218" s="6">
        <v>137292</v>
      </c>
      <c r="K218">
        <v>0</v>
      </c>
      <c r="L218" s="6">
        <v>472493</v>
      </c>
      <c r="M218" s="6">
        <v>1121</v>
      </c>
      <c r="N218">
        <v>358</v>
      </c>
      <c r="O218" s="6">
        <v>1479</v>
      </c>
      <c r="P218" s="6">
        <v>56088</v>
      </c>
      <c r="Q218" s="6">
        <v>0</v>
      </c>
      <c r="R218" s="6">
        <v>34068</v>
      </c>
      <c r="S218" s="6">
        <v>37950</v>
      </c>
      <c r="T218" s="6">
        <v>602078</v>
      </c>
      <c r="U218" s="6">
        <v>392410</v>
      </c>
      <c r="V218" s="6">
        <v>209668</v>
      </c>
    </row>
    <row r="219" spans="1:22" x14ac:dyDescent="0.25">
      <c r="A219">
        <v>2025</v>
      </c>
      <c r="B219" s="1" t="s">
        <v>18</v>
      </c>
      <c r="C219" t="s">
        <v>54</v>
      </c>
      <c r="D219" s="1" t="s">
        <v>623</v>
      </c>
      <c r="E219" t="s">
        <v>298</v>
      </c>
      <c r="F219" s="6">
        <v>210508</v>
      </c>
      <c r="G219" s="6">
        <v>170060</v>
      </c>
      <c r="H219" s="6">
        <v>37072</v>
      </c>
      <c r="I219" s="6">
        <v>132988</v>
      </c>
      <c r="J219" s="6">
        <v>40448</v>
      </c>
      <c r="K219">
        <v>0</v>
      </c>
      <c r="L219" s="6">
        <v>173436</v>
      </c>
      <c r="M219">
        <v>0</v>
      </c>
      <c r="N219">
        <v>0</v>
      </c>
      <c r="O219">
        <v>0</v>
      </c>
      <c r="P219" s="6">
        <v>18020</v>
      </c>
      <c r="Q219" s="6">
        <v>0</v>
      </c>
      <c r="R219" s="6">
        <v>15440</v>
      </c>
      <c r="S219" s="6">
        <v>16964</v>
      </c>
      <c r="T219" s="6">
        <v>223860</v>
      </c>
      <c r="U219" s="6">
        <v>151008</v>
      </c>
      <c r="V219" s="6">
        <v>72852</v>
      </c>
    </row>
    <row r="220" spans="1:22" x14ac:dyDescent="0.25">
      <c r="A220">
        <v>2025</v>
      </c>
      <c r="B220" s="1" t="s">
        <v>14</v>
      </c>
      <c r="C220" t="s">
        <v>50</v>
      </c>
      <c r="D220" s="1" t="s">
        <v>624</v>
      </c>
      <c r="E220" t="s">
        <v>299</v>
      </c>
      <c r="F220" s="6">
        <v>401880</v>
      </c>
      <c r="G220" s="6">
        <v>308059</v>
      </c>
      <c r="H220" s="6">
        <v>67154</v>
      </c>
      <c r="I220" s="6">
        <v>240905</v>
      </c>
      <c r="J220" s="6">
        <v>93821</v>
      </c>
      <c r="K220" s="6">
        <v>9003</v>
      </c>
      <c r="L220" s="6">
        <v>343729</v>
      </c>
      <c r="M220">
        <v>0</v>
      </c>
      <c r="N220">
        <v>0</v>
      </c>
      <c r="O220">
        <v>0</v>
      </c>
      <c r="P220" s="6">
        <v>43527</v>
      </c>
      <c r="Q220" s="6">
        <v>0</v>
      </c>
      <c r="R220" s="6">
        <v>26448</v>
      </c>
      <c r="S220" s="6">
        <v>29618</v>
      </c>
      <c r="T220" s="6">
        <v>443322</v>
      </c>
      <c r="U220" s="6">
        <v>284432</v>
      </c>
      <c r="V220" s="6">
        <v>158890</v>
      </c>
    </row>
    <row r="221" spans="1:22" x14ac:dyDescent="0.25">
      <c r="A221">
        <v>2025</v>
      </c>
      <c r="B221" s="1" t="s">
        <v>17</v>
      </c>
      <c r="C221" t="s">
        <v>53</v>
      </c>
      <c r="D221" s="1" t="s">
        <v>625</v>
      </c>
      <c r="E221" t="s">
        <v>300</v>
      </c>
      <c r="F221" s="6">
        <v>74165</v>
      </c>
      <c r="G221" s="6">
        <v>58668</v>
      </c>
      <c r="H221" s="6">
        <v>12789</v>
      </c>
      <c r="I221" s="6">
        <v>45879</v>
      </c>
      <c r="J221" s="6">
        <v>15497</v>
      </c>
      <c r="K221" s="6">
        <v>5114</v>
      </c>
      <c r="L221" s="6">
        <v>66490</v>
      </c>
      <c r="M221">
        <v>68</v>
      </c>
      <c r="N221">
        <v>17</v>
      </c>
      <c r="O221">
        <v>85</v>
      </c>
      <c r="P221" s="6">
        <v>7505</v>
      </c>
      <c r="Q221">
        <v>0</v>
      </c>
      <c r="R221" s="6">
        <v>5071</v>
      </c>
      <c r="S221" s="6">
        <v>5576</v>
      </c>
      <c r="T221" s="6">
        <v>84727</v>
      </c>
      <c r="U221" s="6">
        <v>53452</v>
      </c>
      <c r="V221" s="6">
        <v>31275</v>
      </c>
    </row>
    <row r="222" spans="1:22" x14ac:dyDescent="0.25">
      <c r="A222">
        <v>2025</v>
      </c>
      <c r="B222" s="1" t="s">
        <v>20</v>
      </c>
      <c r="C222" t="s">
        <v>56</v>
      </c>
      <c r="D222" s="1" t="s">
        <v>626</v>
      </c>
      <c r="E222" t="s">
        <v>301</v>
      </c>
      <c r="F222" s="6">
        <v>65382</v>
      </c>
      <c r="G222" s="6">
        <v>51575</v>
      </c>
      <c r="H222" s="6">
        <v>11243</v>
      </c>
      <c r="I222" s="6">
        <v>40332</v>
      </c>
      <c r="J222" s="6">
        <v>13807</v>
      </c>
      <c r="K222" s="6">
        <v>7384</v>
      </c>
      <c r="L222" s="6">
        <v>61523</v>
      </c>
      <c r="M222">
        <v>105</v>
      </c>
      <c r="N222">
        <v>28</v>
      </c>
      <c r="O222">
        <v>133</v>
      </c>
      <c r="P222" s="6">
        <v>7452</v>
      </c>
      <c r="Q222">
        <v>0</v>
      </c>
      <c r="R222" s="6">
        <v>4358</v>
      </c>
      <c r="S222" s="6">
        <v>4819</v>
      </c>
      <c r="T222" s="6">
        <v>78285</v>
      </c>
      <c r="U222" s="6">
        <v>47890</v>
      </c>
      <c r="V222" s="6">
        <v>30395</v>
      </c>
    </row>
    <row r="223" spans="1:22" x14ac:dyDescent="0.25">
      <c r="A223">
        <v>2025</v>
      </c>
      <c r="B223" s="1" t="s">
        <v>15</v>
      </c>
      <c r="C223" t="s">
        <v>51</v>
      </c>
      <c r="D223" s="1" t="s">
        <v>627</v>
      </c>
      <c r="E223" t="s">
        <v>302</v>
      </c>
      <c r="F223" s="6">
        <v>339341</v>
      </c>
      <c r="G223" s="6">
        <v>265110</v>
      </c>
      <c r="H223" s="6">
        <v>57791</v>
      </c>
      <c r="I223" s="6">
        <v>207319</v>
      </c>
      <c r="J223" s="6">
        <v>74231</v>
      </c>
      <c r="K223">
        <v>0</v>
      </c>
      <c r="L223" s="6">
        <v>281550</v>
      </c>
      <c r="M223">
        <v>327</v>
      </c>
      <c r="N223">
        <v>91</v>
      </c>
      <c r="O223">
        <v>418</v>
      </c>
      <c r="P223" s="6">
        <v>41789</v>
      </c>
      <c r="Q223" s="6">
        <v>0</v>
      </c>
      <c r="R223" s="6">
        <v>23175</v>
      </c>
      <c r="S223" s="6">
        <v>25836</v>
      </c>
      <c r="T223" s="6">
        <v>372768</v>
      </c>
      <c r="U223" s="6">
        <v>249435</v>
      </c>
      <c r="V223" s="6">
        <v>123333</v>
      </c>
    </row>
    <row r="224" spans="1:22" x14ac:dyDescent="0.25">
      <c r="A224">
        <v>2025</v>
      </c>
      <c r="B224" s="1" t="s">
        <v>21</v>
      </c>
      <c r="C224" t="s">
        <v>57</v>
      </c>
      <c r="D224" s="1" t="s">
        <v>628</v>
      </c>
      <c r="E224" t="s">
        <v>303</v>
      </c>
      <c r="F224" s="6">
        <v>842022</v>
      </c>
      <c r="G224" s="6">
        <v>669373</v>
      </c>
      <c r="H224" s="6">
        <v>145916</v>
      </c>
      <c r="I224" s="6">
        <v>523457</v>
      </c>
      <c r="J224" s="6">
        <v>172649</v>
      </c>
      <c r="K224">
        <v>0</v>
      </c>
      <c r="L224" s="6">
        <v>696106</v>
      </c>
      <c r="M224" s="6">
        <v>1550</v>
      </c>
      <c r="N224">
        <v>400</v>
      </c>
      <c r="O224" s="6">
        <v>1950</v>
      </c>
      <c r="P224" s="6">
        <v>84688</v>
      </c>
      <c r="Q224" s="6">
        <v>0</v>
      </c>
      <c r="R224" s="6">
        <v>61372</v>
      </c>
      <c r="S224" s="6">
        <v>67471</v>
      </c>
      <c r="T224" s="6">
        <v>911587</v>
      </c>
      <c r="U224" s="6">
        <v>609695</v>
      </c>
      <c r="V224" s="6">
        <v>301892</v>
      </c>
    </row>
    <row r="225" spans="1:22" x14ac:dyDescent="0.25">
      <c r="A225">
        <v>2025</v>
      </c>
      <c r="B225" s="1" t="s">
        <v>21</v>
      </c>
      <c r="C225" t="s">
        <v>57</v>
      </c>
      <c r="D225" s="1" t="s">
        <v>629</v>
      </c>
      <c r="E225" t="s">
        <v>304</v>
      </c>
      <c r="F225" s="6">
        <v>1964125</v>
      </c>
      <c r="G225" s="6">
        <v>1561399</v>
      </c>
      <c r="H225" s="6">
        <v>340369</v>
      </c>
      <c r="I225" s="6">
        <v>1221030</v>
      </c>
      <c r="J225" s="6">
        <v>402726</v>
      </c>
      <c r="K225">
        <v>0</v>
      </c>
      <c r="L225" s="6">
        <v>1623756</v>
      </c>
      <c r="M225" s="6">
        <v>3607</v>
      </c>
      <c r="N225">
        <v>931</v>
      </c>
      <c r="O225" s="6">
        <v>4538</v>
      </c>
      <c r="P225" s="6">
        <v>197546</v>
      </c>
      <c r="Q225" s="6">
        <v>0</v>
      </c>
      <c r="R225" s="6">
        <v>133749</v>
      </c>
      <c r="S225" s="6">
        <v>147042</v>
      </c>
      <c r="T225" s="6">
        <v>2106631</v>
      </c>
      <c r="U225" s="6">
        <v>1422183</v>
      </c>
      <c r="V225" s="6">
        <v>684448</v>
      </c>
    </row>
    <row r="226" spans="1:22" x14ac:dyDescent="0.25">
      <c r="A226">
        <v>2025</v>
      </c>
      <c r="B226" s="1" t="s">
        <v>18</v>
      </c>
      <c r="C226" t="s">
        <v>54</v>
      </c>
      <c r="D226" s="1" t="s">
        <v>630</v>
      </c>
      <c r="E226" t="s">
        <v>305</v>
      </c>
      <c r="F226" s="6">
        <v>246885</v>
      </c>
      <c r="G226" s="6">
        <v>199446</v>
      </c>
      <c r="H226" s="6">
        <v>43477</v>
      </c>
      <c r="I226" s="6">
        <v>155969</v>
      </c>
      <c r="J226" s="6">
        <v>47439</v>
      </c>
      <c r="K226" s="6">
        <v>0</v>
      </c>
      <c r="L226" s="6">
        <v>203408</v>
      </c>
      <c r="M226">
        <v>0</v>
      </c>
      <c r="N226">
        <v>0</v>
      </c>
      <c r="O226">
        <v>0</v>
      </c>
      <c r="P226" s="6">
        <v>21134</v>
      </c>
      <c r="Q226" s="6">
        <v>0</v>
      </c>
      <c r="R226" s="6">
        <v>16457</v>
      </c>
      <c r="S226" s="6">
        <v>18082</v>
      </c>
      <c r="T226" s="6">
        <v>259081</v>
      </c>
      <c r="U226" s="6">
        <v>177103</v>
      </c>
      <c r="V226" s="6">
        <v>81978</v>
      </c>
    </row>
    <row r="227" spans="1:22" x14ac:dyDescent="0.25">
      <c r="A227">
        <v>2025</v>
      </c>
      <c r="B227" s="1" t="s">
        <v>14</v>
      </c>
      <c r="C227" t="s">
        <v>50</v>
      </c>
      <c r="D227" s="1" t="s">
        <v>631</v>
      </c>
      <c r="E227" t="s">
        <v>306</v>
      </c>
      <c r="F227" s="6">
        <v>71749</v>
      </c>
      <c r="G227" s="6">
        <v>54999</v>
      </c>
      <c r="H227" s="6">
        <v>11989</v>
      </c>
      <c r="I227" s="6">
        <v>43010</v>
      </c>
      <c r="J227" s="6">
        <v>16750</v>
      </c>
      <c r="K227" s="6">
        <v>366</v>
      </c>
      <c r="L227" s="6">
        <v>60126</v>
      </c>
      <c r="M227">
        <v>0</v>
      </c>
      <c r="N227">
        <v>0</v>
      </c>
      <c r="O227">
        <v>0</v>
      </c>
      <c r="P227" s="6">
        <v>7596</v>
      </c>
      <c r="Q227">
        <v>0</v>
      </c>
      <c r="R227" s="6">
        <v>4946</v>
      </c>
      <c r="S227" s="6">
        <v>5539</v>
      </c>
      <c r="T227" s="6">
        <v>78207</v>
      </c>
      <c r="U227" s="6">
        <v>50606</v>
      </c>
      <c r="V227" s="6">
        <v>27601</v>
      </c>
    </row>
    <row r="228" spans="1:22" x14ac:dyDescent="0.25">
      <c r="A228">
        <v>2025</v>
      </c>
      <c r="B228" s="1" t="s">
        <v>18</v>
      </c>
      <c r="C228" t="s">
        <v>54</v>
      </c>
      <c r="D228" s="1" t="s">
        <v>632</v>
      </c>
      <c r="E228" t="s">
        <v>307</v>
      </c>
      <c r="F228" s="6">
        <v>367662</v>
      </c>
      <c r="G228" s="6">
        <v>297016</v>
      </c>
      <c r="H228" s="6">
        <v>64747</v>
      </c>
      <c r="I228" s="6">
        <v>232269</v>
      </c>
      <c r="J228" s="6">
        <v>70646</v>
      </c>
      <c r="K228" s="6">
        <v>4421</v>
      </c>
      <c r="L228" s="6">
        <v>307336</v>
      </c>
      <c r="M228">
        <v>0</v>
      </c>
      <c r="N228">
        <v>0</v>
      </c>
      <c r="O228">
        <v>0</v>
      </c>
      <c r="P228" s="6">
        <v>31684</v>
      </c>
      <c r="Q228" s="6">
        <v>0</v>
      </c>
      <c r="R228" s="6">
        <v>25945</v>
      </c>
      <c r="S228" s="6">
        <v>28507</v>
      </c>
      <c r="T228" s="6">
        <v>393472</v>
      </c>
      <c r="U228" s="6">
        <v>263953</v>
      </c>
      <c r="V228" s="6">
        <v>129519</v>
      </c>
    </row>
    <row r="229" spans="1:22" x14ac:dyDescent="0.25">
      <c r="A229">
        <v>2025</v>
      </c>
      <c r="B229" s="1" t="s">
        <v>21</v>
      </c>
      <c r="C229" t="s">
        <v>57</v>
      </c>
      <c r="D229" s="1" t="s">
        <v>633</v>
      </c>
      <c r="E229" t="s">
        <v>308</v>
      </c>
      <c r="F229" s="6">
        <v>199732</v>
      </c>
      <c r="G229" s="6">
        <v>158779</v>
      </c>
      <c r="H229" s="6">
        <v>34612</v>
      </c>
      <c r="I229" s="6">
        <v>124167</v>
      </c>
      <c r="J229" s="6">
        <v>40953</v>
      </c>
      <c r="K229" s="6">
        <v>9998</v>
      </c>
      <c r="L229" s="6">
        <v>175118</v>
      </c>
      <c r="M229">
        <v>367</v>
      </c>
      <c r="N229">
        <v>95</v>
      </c>
      <c r="O229">
        <v>462</v>
      </c>
      <c r="P229" s="6">
        <v>20462</v>
      </c>
      <c r="Q229" s="6">
        <v>0</v>
      </c>
      <c r="R229" s="6">
        <v>13528</v>
      </c>
      <c r="S229" s="6">
        <v>14872</v>
      </c>
      <c r="T229" s="6">
        <v>224442</v>
      </c>
      <c r="U229" s="6">
        <v>144996</v>
      </c>
      <c r="V229" s="6">
        <v>79446</v>
      </c>
    </row>
    <row r="230" spans="1:22" x14ac:dyDescent="0.25">
      <c r="A230">
        <v>2025</v>
      </c>
      <c r="B230" s="1" t="s">
        <v>18</v>
      </c>
      <c r="C230" t="s">
        <v>54</v>
      </c>
      <c r="D230" s="1" t="s">
        <v>634</v>
      </c>
      <c r="E230" t="s">
        <v>309</v>
      </c>
      <c r="F230" s="6">
        <v>799501</v>
      </c>
      <c r="G230" s="6">
        <v>645878</v>
      </c>
      <c r="H230" s="6">
        <v>140794</v>
      </c>
      <c r="I230" s="6">
        <v>505084</v>
      </c>
      <c r="J230" s="6">
        <v>153623</v>
      </c>
      <c r="K230">
        <v>0</v>
      </c>
      <c r="L230" s="6">
        <v>658707</v>
      </c>
      <c r="M230">
        <v>0</v>
      </c>
      <c r="N230">
        <v>0</v>
      </c>
      <c r="O230">
        <v>0</v>
      </c>
      <c r="P230" s="6">
        <v>68439</v>
      </c>
      <c r="Q230" s="6">
        <v>0</v>
      </c>
      <c r="R230" s="6">
        <v>70203</v>
      </c>
      <c r="S230" s="6">
        <v>77136</v>
      </c>
      <c r="T230" s="6">
        <v>874485</v>
      </c>
      <c r="U230" s="6">
        <v>573523</v>
      </c>
      <c r="V230" s="6">
        <v>300962</v>
      </c>
    </row>
    <row r="231" spans="1:22" x14ac:dyDescent="0.25">
      <c r="A231">
        <v>2025</v>
      </c>
      <c r="B231" s="1" t="s">
        <v>18</v>
      </c>
      <c r="C231" t="s">
        <v>54</v>
      </c>
      <c r="D231" s="1" t="s">
        <v>635</v>
      </c>
      <c r="E231" t="s">
        <v>310</v>
      </c>
      <c r="F231" s="6">
        <v>733646</v>
      </c>
      <c r="G231" s="6">
        <v>592677</v>
      </c>
      <c r="H231" s="6">
        <v>129198</v>
      </c>
      <c r="I231" s="6">
        <v>463479</v>
      </c>
      <c r="J231" s="6">
        <v>140969</v>
      </c>
      <c r="K231">
        <v>0</v>
      </c>
      <c r="L231" s="6">
        <v>604448</v>
      </c>
      <c r="M231">
        <v>0</v>
      </c>
      <c r="N231">
        <v>0</v>
      </c>
      <c r="O231">
        <v>0</v>
      </c>
      <c r="P231" s="6">
        <v>62802</v>
      </c>
      <c r="Q231" s="6">
        <v>0</v>
      </c>
      <c r="R231" s="6">
        <v>50694</v>
      </c>
      <c r="S231" s="6">
        <v>55700</v>
      </c>
      <c r="T231" s="6">
        <v>773644</v>
      </c>
      <c r="U231" s="6">
        <v>526281</v>
      </c>
      <c r="V231" s="6">
        <v>247363</v>
      </c>
    </row>
    <row r="232" spans="1:22" x14ac:dyDescent="0.25">
      <c r="A232">
        <v>2025</v>
      </c>
      <c r="B232" s="1" t="s">
        <v>16</v>
      </c>
      <c r="C232" t="s">
        <v>52</v>
      </c>
      <c r="D232" s="1" t="s">
        <v>636</v>
      </c>
      <c r="E232" t="s">
        <v>311</v>
      </c>
      <c r="F232" s="6">
        <v>2054333</v>
      </c>
      <c r="G232" s="6">
        <v>1615982</v>
      </c>
      <c r="H232" s="6">
        <v>352268</v>
      </c>
      <c r="I232" s="6">
        <v>1263714</v>
      </c>
      <c r="J232" s="6">
        <v>438351</v>
      </c>
      <c r="K232">
        <v>0</v>
      </c>
      <c r="L232" s="6">
        <v>1702065</v>
      </c>
      <c r="M232" s="6">
        <v>2770</v>
      </c>
      <c r="N232">
        <v>752</v>
      </c>
      <c r="O232" s="6">
        <v>3522</v>
      </c>
      <c r="P232" s="6">
        <v>189309</v>
      </c>
      <c r="Q232" s="6">
        <v>0</v>
      </c>
      <c r="R232" s="6">
        <v>144798</v>
      </c>
      <c r="S232" s="6">
        <v>158290</v>
      </c>
      <c r="T232" s="6">
        <v>2197984</v>
      </c>
      <c r="U232" s="6">
        <v>1455794</v>
      </c>
      <c r="V232" s="6">
        <v>742190</v>
      </c>
    </row>
    <row r="233" spans="1:22" x14ac:dyDescent="0.25">
      <c r="A233">
        <v>2025</v>
      </c>
      <c r="B233" s="1" t="s">
        <v>18</v>
      </c>
      <c r="C233" t="s">
        <v>54</v>
      </c>
      <c r="D233" s="1" t="s">
        <v>637</v>
      </c>
      <c r="E233" t="s">
        <v>312</v>
      </c>
      <c r="F233" s="6">
        <v>264749</v>
      </c>
      <c r="G233" s="6">
        <v>213878</v>
      </c>
      <c r="H233" s="6">
        <v>46623</v>
      </c>
      <c r="I233" s="6">
        <v>167255</v>
      </c>
      <c r="J233" s="6">
        <v>50871</v>
      </c>
      <c r="K233">
        <v>0</v>
      </c>
      <c r="L233" s="6">
        <v>218126</v>
      </c>
      <c r="M233">
        <v>0</v>
      </c>
      <c r="N233">
        <v>0</v>
      </c>
      <c r="O233">
        <v>0</v>
      </c>
      <c r="P233" s="6">
        <v>22663</v>
      </c>
      <c r="Q233" s="6">
        <v>0</v>
      </c>
      <c r="R233" s="6">
        <v>17627</v>
      </c>
      <c r="S233" s="6">
        <v>19368</v>
      </c>
      <c r="T233" s="6">
        <v>277784</v>
      </c>
      <c r="U233" s="6">
        <v>189918</v>
      </c>
      <c r="V233" s="6">
        <v>87866</v>
      </c>
    </row>
    <row r="234" spans="1:22" x14ac:dyDescent="0.25">
      <c r="A234">
        <v>2025</v>
      </c>
      <c r="B234" s="1" t="s">
        <v>14</v>
      </c>
      <c r="C234" t="s">
        <v>50</v>
      </c>
      <c r="D234" s="1" t="s">
        <v>638</v>
      </c>
      <c r="E234" t="s">
        <v>313</v>
      </c>
      <c r="F234" s="6">
        <v>261415</v>
      </c>
      <c r="G234" s="6">
        <v>200386</v>
      </c>
      <c r="H234" s="6">
        <v>43682</v>
      </c>
      <c r="I234" s="6">
        <v>156704</v>
      </c>
      <c r="J234" s="6">
        <v>61029</v>
      </c>
      <c r="K234" s="6">
        <v>4632</v>
      </c>
      <c r="L234" s="6">
        <v>222365</v>
      </c>
      <c r="M234">
        <v>0</v>
      </c>
      <c r="N234">
        <v>0</v>
      </c>
      <c r="O234">
        <v>0</v>
      </c>
      <c r="P234" s="6">
        <v>27886</v>
      </c>
      <c r="Q234" s="6">
        <v>0</v>
      </c>
      <c r="R234" s="6">
        <v>18657</v>
      </c>
      <c r="S234" s="6">
        <v>20894</v>
      </c>
      <c r="T234" s="6">
        <v>289802</v>
      </c>
      <c r="U234" s="6">
        <v>184590</v>
      </c>
      <c r="V234" s="6">
        <v>105212</v>
      </c>
    </row>
    <row r="235" spans="1:22" x14ac:dyDescent="0.25">
      <c r="A235">
        <v>2025</v>
      </c>
      <c r="B235" s="1" t="s">
        <v>13</v>
      </c>
      <c r="C235" t="s">
        <v>49</v>
      </c>
      <c r="D235" s="1" t="s">
        <v>639</v>
      </c>
      <c r="E235" t="s">
        <v>314</v>
      </c>
      <c r="F235" s="6">
        <v>306077</v>
      </c>
      <c r="G235" s="6">
        <v>231825</v>
      </c>
      <c r="H235" s="6">
        <v>50535</v>
      </c>
      <c r="I235" s="6">
        <v>181290</v>
      </c>
      <c r="J235" s="6">
        <v>74252</v>
      </c>
      <c r="K235" s="6">
        <v>0</v>
      </c>
      <c r="L235" s="6">
        <v>255542</v>
      </c>
      <c r="M235">
        <v>605</v>
      </c>
      <c r="N235">
        <v>194</v>
      </c>
      <c r="O235">
        <v>799</v>
      </c>
      <c r="P235" s="6">
        <v>30335</v>
      </c>
      <c r="Q235" s="6">
        <v>0</v>
      </c>
      <c r="R235" s="6">
        <v>19530</v>
      </c>
      <c r="S235" s="6">
        <v>21755</v>
      </c>
      <c r="T235" s="6">
        <v>327961</v>
      </c>
      <c r="U235" s="6">
        <v>212230</v>
      </c>
      <c r="V235" s="6">
        <v>115731</v>
      </c>
    </row>
    <row r="236" spans="1:22" x14ac:dyDescent="0.25">
      <c r="A236">
        <v>2025</v>
      </c>
      <c r="B236" s="1" t="s">
        <v>20</v>
      </c>
      <c r="C236" t="s">
        <v>56</v>
      </c>
      <c r="D236" s="1" t="s">
        <v>640</v>
      </c>
      <c r="E236" t="s">
        <v>315</v>
      </c>
      <c r="F236" s="6">
        <v>406523</v>
      </c>
      <c r="G236" s="6">
        <v>320676</v>
      </c>
      <c r="H236" s="6">
        <v>69904</v>
      </c>
      <c r="I236" s="6">
        <v>250772</v>
      </c>
      <c r="J236" s="6">
        <v>85847</v>
      </c>
      <c r="K236" s="6">
        <v>0</v>
      </c>
      <c r="L236" s="6">
        <v>336619</v>
      </c>
      <c r="M236">
        <v>659</v>
      </c>
      <c r="N236">
        <v>176</v>
      </c>
      <c r="O236">
        <v>835</v>
      </c>
      <c r="P236" s="6">
        <v>41747</v>
      </c>
      <c r="Q236" s="6">
        <v>0</v>
      </c>
      <c r="R236" s="6">
        <v>27017</v>
      </c>
      <c r="S236" s="6">
        <v>29871</v>
      </c>
      <c r="T236" s="6">
        <v>436089</v>
      </c>
      <c r="U236" s="6">
        <v>293178</v>
      </c>
      <c r="V236" s="6">
        <v>142911</v>
      </c>
    </row>
    <row r="237" spans="1:22" x14ac:dyDescent="0.25">
      <c r="A237">
        <v>2025</v>
      </c>
      <c r="B237" s="1" t="s">
        <v>19</v>
      </c>
      <c r="C237" t="s">
        <v>55</v>
      </c>
      <c r="D237" s="1" t="s">
        <v>641</v>
      </c>
      <c r="E237" t="s">
        <v>316</v>
      </c>
      <c r="F237" s="6">
        <v>131705</v>
      </c>
      <c r="G237" s="6">
        <v>101933</v>
      </c>
      <c r="H237" s="6">
        <v>22221</v>
      </c>
      <c r="I237" s="6">
        <v>79712</v>
      </c>
      <c r="J237" s="6">
        <v>29772</v>
      </c>
      <c r="K237" s="6">
        <v>2705</v>
      </c>
      <c r="L237" s="6">
        <v>112189</v>
      </c>
      <c r="M237">
        <v>194</v>
      </c>
      <c r="N237">
        <v>57</v>
      </c>
      <c r="O237">
        <v>251</v>
      </c>
      <c r="P237" s="6">
        <v>13543</v>
      </c>
      <c r="Q237" s="6">
        <v>0</v>
      </c>
      <c r="R237" s="6">
        <v>13210</v>
      </c>
      <c r="S237" s="6">
        <v>14788</v>
      </c>
      <c r="T237" s="6">
        <v>153981</v>
      </c>
      <c r="U237" s="6">
        <v>93450</v>
      </c>
      <c r="V237" s="6">
        <v>60531</v>
      </c>
    </row>
    <row r="238" spans="1:22" x14ac:dyDescent="0.25">
      <c r="A238">
        <v>2025</v>
      </c>
      <c r="B238" s="1" t="s">
        <v>13</v>
      </c>
      <c r="C238" t="s">
        <v>49</v>
      </c>
      <c r="D238" s="1" t="s">
        <v>642</v>
      </c>
      <c r="E238" t="s">
        <v>317</v>
      </c>
      <c r="F238" s="6">
        <v>136878</v>
      </c>
      <c r="G238" s="6">
        <v>103672</v>
      </c>
      <c r="H238" s="6">
        <v>22600</v>
      </c>
      <c r="I238" s="6">
        <v>81072</v>
      </c>
      <c r="J238" s="6">
        <v>33206</v>
      </c>
      <c r="K238">
        <v>0</v>
      </c>
      <c r="L238" s="6">
        <v>114278</v>
      </c>
      <c r="M238">
        <v>270</v>
      </c>
      <c r="N238">
        <v>86</v>
      </c>
      <c r="O238">
        <v>356</v>
      </c>
      <c r="P238" s="6">
        <v>13566</v>
      </c>
      <c r="Q238" s="6">
        <v>0</v>
      </c>
      <c r="R238" s="6">
        <v>8856</v>
      </c>
      <c r="S238" s="6">
        <v>9865</v>
      </c>
      <c r="T238" s="6">
        <v>146921</v>
      </c>
      <c r="U238" s="6">
        <v>94908</v>
      </c>
      <c r="V238" s="6">
        <v>52013</v>
      </c>
    </row>
    <row r="239" spans="1:22" x14ac:dyDescent="0.25">
      <c r="A239">
        <v>2025</v>
      </c>
      <c r="B239" s="1" t="s">
        <v>19</v>
      </c>
      <c r="C239" t="s">
        <v>55</v>
      </c>
      <c r="D239" s="1" t="s">
        <v>643</v>
      </c>
      <c r="E239" t="s">
        <v>318</v>
      </c>
      <c r="F239" s="6">
        <v>155804</v>
      </c>
      <c r="G239" s="6">
        <v>120585</v>
      </c>
      <c r="H239" s="6">
        <v>26286</v>
      </c>
      <c r="I239" s="6">
        <v>94299</v>
      </c>
      <c r="J239" s="6">
        <v>35219</v>
      </c>
      <c r="K239">
        <v>0</v>
      </c>
      <c r="L239" s="6">
        <v>129518</v>
      </c>
      <c r="M239">
        <v>230</v>
      </c>
      <c r="N239">
        <v>67</v>
      </c>
      <c r="O239">
        <v>297</v>
      </c>
      <c r="P239" s="6">
        <v>15707</v>
      </c>
      <c r="Q239" s="6">
        <v>0</v>
      </c>
      <c r="R239" s="6">
        <v>9626</v>
      </c>
      <c r="S239" s="6">
        <v>10776</v>
      </c>
      <c r="T239" s="6">
        <v>165924</v>
      </c>
      <c r="U239" s="6">
        <v>110235</v>
      </c>
      <c r="V239" s="6">
        <v>55689</v>
      </c>
    </row>
    <row r="240" spans="1:22" x14ac:dyDescent="0.25">
      <c r="A240">
        <v>2025</v>
      </c>
      <c r="B240" s="1" t="s">
        <v>20</v>
      </c>
      <c r="C240" t="s">
        <v>56</v>
      </c>
      <c r="D240" s="1" t="s">
        <v>644</v>
      </c>
      <c r="E240" t="s">
        <v>319</v>
      </c>
      <c r="F240" s="6">
        <v>279845</v>
      </c>
      <c r="G240" s="6">
        <v>220749</v>
      </c>
      <c r="H240" s="6">
        <v>48121</v>
      </c>
      <c r="I240" s="6">
        <v>172628</v>
      </c>
      <c r="J240" s="6">
        <v>59096</v>
      </c>
      <c r="K240">
        <v>0</v>
      </c>
      <c r="L240" s="6">
        <v>231724</v>
      </c>
      <c r="M240">
        <v>454</v>
      </c>
      <c r="N240">
        <v>121</v>
      </c>
      <c r="O240">
        <v>575</v>
      </c>
      <c r="P240" s="6">
        <v>28738</v>
      </c>
      <c r="Q240" s="6">
        <v>0</v>
      </c>
      <c r="R240" s="6">
        <v>18096</v>
      </c>
      <c r="S240" s="6">
        <v>20008</v>
      </c>
      <c r="T240" s="6">
        <v>299141</v>
      </c>
      <c r="U240" s="6">
        <v>201820</v>
      </c>
      <c r="V240" s="6">
        <v>97321</v>
      </c>
    </row>
    <row r="241" spans="1:22" x14ac:dyDescent="0.25">
      <c r="A241">
        <v>2025</v>
      </c>
      <c r="B241" s="1" t="s">
        <v>19</v>
      </c>
      <c r="C241" t="s">
        <v>55</v>
      </c>
      <c r="D241" s="1" t="s">
        <v>645</v>
      </c>
      <c r="E241" t="s">
        <v>320</v>
      </c>
      <c r="F241" s="6">
        <v>312348</v>
      </c>
      <c r="G241" s="6">
        <v>241742</v>
      </c>
      <c r="H241" s="6">
        <v>52698</v>
      </c>
      <c r="I241" s="6">
        <v>189044</v>
      </c>
      <c r="J241" s="6">
        <v>70606</v>
      </c>
      <c r="K241" s="6">
        <v>4223</v>
      </c>
      <c r="L241" s="6">
        <v>263873</v>
      </c>
      <c r="M241">
        <v>459</v>
      </c>
      <c r="N241">
        <v>134</v>
      </c>
      <c r="O241">
        <v>593</v>
      </c>
      <c r="P241" s="6">
        <v>31897</v>
      </c>
      <c r="Q241" s="6">
        <v>0</v>
      </c>
      <c r="R241" s="6">
        <v>31974</v>
      </c>
      <c r="S241" s="6">
        <v>35796</v>
      </c>
      <c r="T241" s="6">
        <v>364133</v>
      </c>
      <c r="U241" s="6">
        <v>221400</v>
      </c>
      <c r="V241" s="6">
        <v>142733</v>
      </c>
    </row>
    <row r="242" spans="1:22" x14ac:dyDescent="0.25">
      <c r="A242">
        <v>2025</v>
      </c>
      <c r="B242" s="1" t="s">
        <v>18</v>
      </c>
      <c r="C242" t="s">
        <v>54</v>
      </c>
      <c r="D242" s="1" t="s">
        <v>646</v>
      </c>
      <c r="E242" t="s">
        <v>321</v>
      </c>
      <c r="F242" s="6">
        <v>360724</v>
      </c>
      <c r="G242" s="6">
        <v>291411</v>
      </c>
      <c r="H242" s="6">
        <v>63525</v>
      </c>
      <c r="I242" s="6">
        <v>227886</v>
      </c>
      <c r="J242" s="6">
        <v>69313</v>
      </c>
      <c r="K242">
        <v>0</v>
      </c>
      <c r="L242" s="6">
        <v>297199</v>
      </c>
      <c r="M242">
        <v>0</v>
      </c>
      <c r="N242">
        <v>0</v>
      </c>
      <c r="O242">
        <v>0</v>
      </c>
      <c r="P242" s="6">
        <v>30879</v>
      </c>
      <c r="Q242" s="6">
        <v>0</v>
      </c>
      <c r="R242" s="6">
        <v>25131</v>
      </c>
      <c r="S242" s="6">
        <v>27613</v>
      </c>
      <c r="T242" s="6">
        <v>380822</v>
      </c>
      <c r="U242" s="6">
        <v>258765</v>
      </c>
      <c r="V242" s="6">
        <v>122057</v>
      </c>
    </row>
    <row r="243" spans="1:22" x14ac:dyDescent="0.25">
      <c r="A243">
        <v>2025</v>
      </c>
      <c r="B243" s="1" t="s">
        <v>15</v>
      </c>
      <c r="C243" t="s">
        <v>51</v>
      </c>
      <c r="D243" s="1" t="s">
        <v>647</v>
      </c>
      <c r="E243" t="s">
        <v>322</v>
      </c>
      <c r="F243" s="6">
        <v>169607</v>
      </c>
      <c r="G243" s="6">
        <v>132505</v>
      </c>
      <c r="H243" s="6">
        <v>28885</v>
      </c>
      <c r="I243" s="6">
        <v>103620</v>
      </c>
      <c r="J243" s="6">
        <v>37102</v>
      </c>
      <c r="K243">
        <v>0</v>
      </c>
      <c r="L243" s="6">
        <v>140722</v>
      </c>
      <c r="M243">
        <v>165</v>
      </c>
      <c r="N243">
        <v>46</v>
      </c>
      <c r="O243">
        <v>211</v>
      </c>
      <c r="P243" s="6">
        <v>20887</v>
      </c>
      <c r="Q243" s="6">
        <v>0</v>
      </c>
      <c r="R243" s="6">
        <v>10935</v>
      </c>
      <c r="S243" s="6">
        <v>12190</v>
      </c>
      <c r="T243" s="6">
        <v>184945</v>
      </c>
      <c r="U243" s="6">
        <v>124672</v>
      </c>
      <c r="V243" s="6">
        <v>60273</v>
      </c>
    </row>
    <row r="244" spans="1:22" x14ac:dyDescent="0.25">
      <c r="A244">
        <v>2025</v>
      </c>
      <c r="B244" s="1" t="s">
        <v>14</v>
      </c>
      <c r="C244" t="s">
        <v>50</v>
      </c>
      <c r="D244" s="1" t="s">
        <v>648</v>
      </c>
      <c r="E244" t="s">
        <v>323</v>
      </c>
      <c r="F244" s="6">
        <v>69833</v>
      </c>
      <c r="G244" s="6">
        <v>53530</v>
      </c>
      <c r="H244" s="6">
        <v>11669</v>
      </c>
      <c r="I244" s="6">
        <v>41861</v>
      </c>
      <c r="J244" s="6">
        <v>16303</v>
      </c>
      <c r="K244" s="6">
        <v>16642</v>
      </c>
      <c r="L244" s="6">
        <v>74806</v>
      </c>
      <c r="M244">
        <v>0</v>
      </c>
      <c r="N244">
        <v>0</v>
      </c>
      <c r="O244">
        <v>0</v>
      </c>
      <c r="P244" s="6">
        <v>8186</v>
      </c>
      <c r="Q244">
        <v>0</v>
      </c>
      <c r="R244" s="6">
        <v>4664</v>
      </c>
      <c r="S244" s="6">
        <v>5224</v>
      </c>
      <c r="T244" s="6">
        <v>92880</v>
      </c>
      <c r="U244" s="6">
        <v>50047</v>
      </c>
      <c r="V244" s="6">
        <v>42833</v>
      </c>
    </row>
    <row r="245" spans="1:22" x14ac:dyDescent="0.25">
      <c r="A245">
        <v>2025</v>
      </c>
      <c r="B245" s="1" t="s">
        <v>18</v>
      </c>
      <c r="C245" t="s">
        <v>54</v>
      </c>
      <c r="D245" s="1" t="s">
        <v>649</v>
      </c>
      <c r="E245" t="s">
        <v>324</v>
      </c>
      <c r="F245" s="6">
        <v>394166</v>
      </c>
      <c r="G245" s="6">
        <v>318427</v>
      </c>
      <c r="H245" s="6">
        <v>69414</v>
      </c>
      <c r="I245" s="6">
        <v>249013</v>
      </c>
      <c r="J245" s="6">
        <v>75739</v>
      </c>
      <c r="K245">
        <v>0</v>
      </c>
      <c r="L245" s="6">
        <v>324752</v>
      </c>
      <c r="M245">
        <v>0</v>
      </c>
      <c r="N245">
        <v>0</v>
      </c>
      <c r="O245">
        <v>0</v>
      </c>
      <c r="P245" s="6">
        <v>33741</v>
      </c>
      <c r="Q245" s="6">
        <v>0</v>
      </c>
      <c r="R245" s="6">
        <v>27751</v>
      </c>
      <c r="S245" s="6">
        <v>30491</v>
      </c>
      <c r="T245" s="6">
        <v>416735</v>
      </c>
      <c r="U245" s="6">
        <v>282754</v>
      </c>
      <c r="V245" s="6">
        <v>133981</v>
      </c>
    </row>
    <row r="246" spans="1:22" x14ac:dyDescent="0.25">
      <c r="A246">
        <v>2025</v>
      </c>
      <c r="B246" s="1" t="s">
        <v>14</v>
      </c>
      <c r="C246" t="s">
        <v>50</v>
      </c>
      <c r="D246" s="1" t="s">
        <v>650</v>
      </c>
      <c r="E246" t="s">
        <v>325</v>
      </c>
      <c r="F246" s="6">
        <v>144749</v>
      </c>
      <c r="G246" s="6">
        <v>110957</v>
      </c>
      <c r="H246" s="6">
        <v>24187</v>
      </c>
      <c r="I246" s="6">
        <v>86770</v>
      </c>
      <c r="J246" s="6">
        <v>33792</v>
      </c>
      <c r="K246" s="6">
        <v>0</v>
      </c>
      <c r="L246" s="6">
        <v>120562</v>
      </c>
      <c r="M246">
        <v>0</v>
      </c>
      <c r="N246">
        <v>0</v>
      </c>
      <c r="O246">
        <v>0</v>
      </c>
      <c r="P246" s="6">
        <v>15324</v>
      </c>
      <c r="Q246" s="6">
        <v>0</v>
      </c>
      <c r="R246" s="6">
        <v>9662</v>
      </c>
      <c r="S246" s="6">
        <v>10820</v>
      </c>
      <c r="T246" s="6">
        <v>156368</v>
      </c>
      <c r="U246" s="6">
        <v>102094</v>
      </c>
      <c r="V246" s="6">
        <v>54274</v>
      </c>
    </row>
    <row r="247" spans="1:22" x14ac:dyDescent="0.25">
      <c r="A247">
        <v>2025</v>
      </c>
      <c r="B247" s="1" t="s">
        <v>19</v>
      </c>
      <c r="C247" t="s">
        <v>55</v>
      </c>
      <c r="D247" s="1" t="s">
        <v>651</v>
      </c>
      <c r="E247" t="s">
        <v>326</v>
      </c>
      <c r="F247" s="6">
        <v>94824</v>
      </c>
      <c r="G247" s="6">
        <v>73389</v>
      </c>
      <c r="H247" s="6">
        <v>15998</v>
      </c>
      <c r="I247" s="6">
        <v>57391</v>
      </c>
      <c r="J247" s="6">
        <v>21435</v>
      </c>
      <c r="K247" s="6">
        <v>10135</v>
      </c>
      <c r="L247" s="6">
        <v>88961</v>
      </c>
      <c r="M247">
        <v>140</v>
      </c>
      <c r="N247">
        <v>41</v>
      </c>
      <c r="O247">
        <v>181</v>
      </c>
      <c r="P247" s="6">
        <v>9560</v>
      </c>
      <c r="Q247" s="6">
        <v>0</v>
      </c>
      <c r="R247" s="6">
        <v>6170</v>
      </c>
      <c r="S247" s="6">
        <v>6907</v>
      </c>
      <c r="T247" s="6">
        <v>111779</v>
      </c>
      <c r="U247" s="6">
        <v>67091</v>
      </c>
      <c r="V247" s="6">
        <v>44688</v>
      </c>
    </row>
    <row r="248" spans="1:22" x14ac:dyDescent="0.25">
      <c r="A248">
        <v>2025</v>
      </c>
      <c r="B248" s="1" t="s">
        <v>19</v>
      </c>
      <c r="C248" t="s">
        <v>55</v>
      </c>
      <c r="D248" s="1" t="s">
        <v>652</v>
      </c>
      <c r="E248" t="s">
        <v>327</v>
      </c>
      <c r="F248" s="6">
        <v>564536</v>
      </c>
      <c r="G248" s="6">
        <v>436922</v>
      </c>
      <c r="H248" s="6">
        <v>95245</v>
      </c>
      <c r="I248" s="6">
        <v>341677</v>
      </c>
      <c r="J248" s="6">
        <v>127614</v>
      </c>
      <c r="K248">
        <v>0</v>
      </c>
      <c r="L248" s="6">
        <v>469291</v>
      </c>
      <c r="M248">
        <v>832</v>
      </c>
      <c r="N248">
        <v>242</v>
      </c>
      <c r="O248" s="6">
        <v>1074</v>
      </c>
      <c r="P248" s="6">
        <v>56913</v>
      </c>
      <c r="Q248" s="6">
        <v>0</v>
      </c>
      <c r="R248" s="6">
        <v>37914</v>
      </c>
      <c r="S248" s="6">
        <v>42446</v>
      </c>
      <c r="T248" s="6">
        <v>607638</v>
      </c>
      <c r="U248" s="6">
        <v>399422</v>
      </c>
      <c r="V248" s="6">
        <v>208216</v>
      </c>
    </row>
    <row r="249" spans="1:22" x14ac:dyDescent="0.25">
      <c r="A249">
        <v>2025</v>
      </c>
      <c r="B249" s="1" t="s">
        <v>21</v>
      </c>
      <c r="C249" t="s">
        <v>57</v>
      </c>
      <c r="D249" s="1" t="s">
        <v>653</v>
      </c>
      <c r="E249" t="s">
        <v>328</v>
      </c>
      <c r="F249" s="6">
        <v>86190</v>
      </c>
      <c r="G249" s="6">
        <v>68518</v>
      </c>
      <c r="H249" s="6">
        <v>14937</v>
      </c>
      <c r="I249" s="6">
        <v>53581</v>
      </c>
      <c r="J249" s="6">
        <v>17672</v>
      </c>
      <c r="K249" s="6">
        <v>6709</v>
      </c>
      <c r="L249" s="6">
        <v>77962</v>
      </c>
      <c r="M249">
        <v>159</v>
      </c>
      <c r="N249">
        <v>41</v>
      </c>
      <c r="O249">
        <v>200</v>
      </c>
      <c r="P249" s="6">
        <v>8669</v>
      </c>
      <c r="Q249">
        <v>0</v>
      </c>
      <c r="R249" s="6">
        <v>5936</v>
      </c>
      <c r="S249" s="6">
        <v>6526</v>
      </c>
      <c r="T249" s="6">
        <v>99293</v>
      </c>
      <c r="U249" s="6">
        <v>62409</v>
      </c>
      <c r="V249" s="6">
        <v>36884</v>
      </c>
    </row>
    <row r="250" spans="1:22" x14ac:dyDescent="0.25">
      <c r="A250">
        <v>2025</v>
      </c>
      <c r="B250" s="1" t="s">
        <v>19</v>
      </c>
      <c r="C250" t="s">
        <v>55</v>
      </c>
      <c r="D250" s="1" t="s">
        <v>654</v>
      </c>
      <c r="E250" t="s">
        <v>329</v>
      </c>
      <c r="F250" s="6">
        <v>447287</v>
      </c>
      <c r="G250" s="6">
        <v>346178</v>
      </c>
      <c r="H250" s="6">
        <v>75463</v>
      </c>
      <c r="I250" s="6">
        <v>270715</v>
      </c>
      <c r="J250" s="6">
        <v>101109</v>
      </c>
      <c r="K250">
        <v>0</v>
      </c>
      <c r="L250" s="6">
        <v>371824</v>
      </c>
      <c r="M250">
        <v>659</v>
      </c>
      <c r="N250">
        <v>192</v>
      </c>
      <c r="O250">
        <v>851</v>
      </c>
      <c r="P250" s="6">
        <v>45093</v>
      </c>
      <c r="Q250" s="6">
        <v>0</v>
      </c>
      <c r="R250" s="6">
        <v>32896</v>
      </c>
      <c r="S250" s="6">
        <v>36828</v>
      </c>
      <c r="T250" s="6">
        <v>487492</v>
      </c>
      <c r="U250" s="6">
        <v>316467</v>
      </c>
      <c r="V250" s="6">
        <v>171025</v>
      </c>
    </row>
    <row r="251" spans="1:22" x14ac:dyDescent="0.25">
      <c r="A251">
        <v>2025</v>
      </c>
      <c r="B251" s="1" t="s">
        <v>20</v>
      </c>
      <c r="C251" t="s">
        <v>56</v>
      </c>
      <c r="D251" s="1" t="s">
        <v>655</v>
      </c>
      <c r="E251" t="s">
        <v>330</v>
      </c>
      <c r="F251" s="6">
        <v>412536</v>
      </c>
      <c r="G251" s="6">
        <v>325420</v>
      </c>
      <c r="H251" s="6">
        <v>70938</v>
      </c>
      <c r="I251" s="6">
        <v>254482</v>
      </c>
      <c r="J251" s="6">
        <v>87116</v>
      </c>
      <c r="K251">
        <v>0</v>
      </c>
      <c r="L251" s="6">
        <v>341598</v>
      </c>
      <c r="M251">
        <v>670</v>
      </c>
      <c r="N251">
        <v>179</v>
      </c>
      <c r="O251">
        <v>849</v>
      </c>
      <c r="P251" s="6">
        <v>42365</v>
      </c>
      <c r="Q251" s="6">
        <v>0</v>
      </c>
      <c r="R251" s="6">
        <v>27119</v>
      </c>
      <c r="S251" s="6">
        <v>29984</v>
      </c>
      <c r="T251" s="6">
        <v>441915</v>
      </c>
      <c r="U251" s="6">
        <v>297517</v>
      </c>
      <c r="V251" s="6">
        <v>144398</v>
      </c>
    </row>
    <row r="252" spans="1:22" x14ac:dyDescent="0.25">
      <c r="A252">
        <v>2025</v>
      </c>
      <c r="B252" s="1" t="s">
        <v>19</v>
      </c>
      <c r="C252" t="s">
        <v>55</v>
      </c>
      <c r="D252" s="1" t="s">
        <v>656</v>
      </c>
      <c r="E252" t="s">
        <v>331</v>
      </c>
      <c r="F252" s="6">
        <v>251591</v>
      </c>
      <c r="G252" s="6">
        <v>194719</v>
      </c>
      <c r="H252" s="6">
        <v>42447</v>
      </c>
      <c r="I252" s="6">
        <v>152272</v>
      </c>
      <c r="J252" s="6">
        <v>56872</v>
      </c>
      <c r="K252" s="6">
        <v>9118</v>
      </c>
      <c r="L252" s="6">
        <v>218262</v>
      </c>
      <c r="M252">
        <v>370</v>
      </c>
      <c r="N252">
        <v>108</v>
      </c>
      <c r="O252">
        <v>478</v>
      </c>
      <c r="P252" s="6">
        <v>26268</v>
      </c>
      <c r="Q252" s="6">
        <v>0</v>
      </c>
      <c r="R252" s="6">
        <v>17254</v>
      </c>
      <c r="S252" s="6">
        <v>19317</v>
      </c>
      <c r="T252" s="6">
        <v>281579</v>
      </c>
      <c r="U252" s="6">
        <v>178910</v>
      </c>
      <c r="V252" s="6">
        <v>102669</v>
      </c>
    </row>
    <row r="253" spans="1:22" x14ac:dyDescent="0.25">
      <c r="A253">
        <v>2025</v>
      </c>
      <c r="B253" s="1" t="s">
        <v>20</v>
      </c>
      <c r="C253" t="s">
        <v>56</v>
      </c>
      <c r="D253" s="1" t="s">
        <v>657</v>
      </c>
      <c r="E253" t="s">
        <v>332</v>
      </c>
      <c r="F253" s="6">
        <v>150107</v>
      </c>
      <c r="G253" s="6">
        <v>118409</v>
      </c>
      <c r="H253" s="6">
        <v>25812</v>
      </c>
      <c r="I253" s="6">
        <v>92597</v>
      </c>
      <c r="J253" s="6">
        <v>31698</v>
      </c>
      <c r="K253">
        <v>0</v>
      </c>
      <c r="L253" s="6">
        <v>124295</v>
      </c>
      <c r="M253">
        <v>243</v>
      </c>
      <c r="N253">
        <v>65</v>
      </c>
      <c r="O253">
        <v>308</v>
      </c>
      <c r="P253" s="6">
        <v>15415</v>
      </c>
      <c r="Q253" s="6">
        <v>0</v>
      </c>
      <c r="R253" s="6">
        <v>9915</v>
      </c>
      <c r="S253" s="6">
        <v>10962</v>
      </c>
      <c r="T253" s="6">
        <v>160895</v>
      </c>
      <c r="U253" s="6">
        <v>108255</v>
      </c>
      <c r="V253" s="6">
        <v>52640</v>
      </c>
    </row>
    <row r="254" spans="1:22" x14ac:dyDescent="0.25">
      <c r="A254">
        <v>2025</v>
      </c>
      <c r="B254" s="1" t="s">
        <v>21</v>
      </c>
      <c r="C254" t="s">
        <v>57</v>
      </c>
      <c r="D254" s="1" t="s">
        <v>658</v>
      </c>
      <c r="E254" t="s">
        <v>333</v>
      </c>
      <c r="F254" s="6">
        <v>212893</v>
      </c>
      <c r="G254" s="6">
        <v>169241</v>
      </c>
      <c r="H254" s="6">
        <v>36893</v>
      </c>
      <c r="I254" s="6">
        <v>132348</v>
      </c>
      <c r="J254" s="6">
        <v>43652</v>
      </c>
      <c r="K254">
        <v>0</v>
      </c>
      <c r="L254" s="6">
        <v>176000</v>
      </c>
      <c r="M254">
        <v>392</v>
      </c>
      <c r="N254">
        <v>100</v>
      </c>
      <c r="O254">
        <v>492</v>
      </c>
      <c r="P254" s="6">
        <v>21412</v>
      </c>
      <c r="Q254" s="6">
        <v>0</v>
      </c>
      <c r="R254" s="6">
        <v>14394</v>
      </c>
      <c r="S254" s="6">
        <v>15824</v>
      </c>
      <c r="T254" s="6">
        <v>228122</v>
      </c>
      <c r="U254" s="6">
        <v>154152</v>
      </c>
      <c r="V254" s="6">
        <v>73970</v>
      </c>
    </row>
    <row r="255" spans="1:22" x14ac:dyDescent="0.25">
      <c r="A255">
        <v>2025</v>
      </c>
      <c r="B255" s="1" t="s">
        <v>19</v>
      </c>
      <c r="C255" t="s">
        <v>55</v>
      </c>
      <c r="D255" s="1" t="s">
        <v>659</v>
      </c>
      <c r="E255" t="s">
        <v>334</v>
      </c>
      <c r="F255" s="6">
        <v>595030</v>
      </c>
      <c r="G255" s="6">
        <v>460523</v>
      </c>
      <c r="H255" s="6">
        <v>100390</v>
      </c>
      <c r="I255" s="6">
        <v>360133</v>
      </c>
      <c r="J255" s="6">
        <v>134507</v>
      </c>
      <c r="K255">
        <v>0</v>
      </c>
      <c r="L255" s="6">
        <v>494640</v>
      </c>
      <c r="M255">
        <v>875</v>
      </c>
      <c r="N255">
        <v>255</v>
      </c>
      <c r="O255" s="6">
        <v>1130</v>
      </c>
      <c r="P255" s="6">
        <v>59987</v>
      </c>
      <c r="Q255" s="6">
        <v>0</v>
      </c>
      <c r="R255" s="6">
        <v>56448</v>
      </c>
      <c r="S255" s="6">
        <v>63195</v>
      </c>
      <c r="T255" s="6">
        <v>675400</v>
      </c>
      <c r="U255" s="6">
        <v>420995</v>
      </c>
      <c r="V255" s="6">
        <v>254405</v>
      </c>
    </row>
    <row r="256" spans="1:22" x14ac:dyDescent="0.25">
      <c r="A256">
        <v>2025</v>
      </c>
      <c r="B256" s="1" t="s">
        <v>14</v>
      </c>
      <c r="C256" t="s">
        <v>50</v>
      </c>
      <c r="D256" s="1" t="s">
        <v>660</v>
      </c>
      <c r="E256" t="s">
        <v>335</v>
      </c>
      <c r="F256" s="6">
        <v>174495</v>
      </c>
      <c r="G256" s="6">
        <v>133758</v>
      </c>
      <c r="H256" s="6">
        <v>29158</v>
      </c>
      <c r="I256" s="6">
        <v>104600</v>
      </c>
      <c r="J256" s="6">
        <v>40737</v>
      </c>
      <c r="K256">
        <v>81</v>
      </c>
      <c r="L256" s="6">
        <v>145418</v>
      </c>
      <c r="M256">
        <v>0</v>
      </c>
      <c r="N256">
        <v>0</v>
      </c>
      <c r="O256">
        <v>0</v>
      </c>
      <c r="P256" s="6">
        <v>18494</v>
      </c>
      <c r="Q256" s="6">
        <v>0</v>
      </c>
      <c r="R256" s="6">
        <v>11481</v>
      </c>
      <c r="S256" s="6">
        <v>12858</v>
      </c>
      <c r="T256" s="6">
        <v>188251</v>
      </c>
      <c r="U256" s="6">
        <v>123094</v>
      </c>
      <c r="V256" s="6">
        <v>65157</v>
      </c>
    </row>
    <row r="257" spans="1:22" x14ac:dyDescent="0.25">
      <c r="A257">
        <v>2025</v>
      </c>
      <c r="B257" s="1" t="s">
        <v>19</v>
      </c>
      <c r="C257" t="s">
        <v>55</v>
      </c>
      <c r="D257" s="1" t="s">
        <v>661</v>
      </c>
      <c r="E257" t="s">
        <v>336</v>
      </c>
      <c r="F257" s="6">
        <v>5929933</v>
      </c>
      <c r="G257" s="6">
        <v>4589468</v>
      </c>
      <c r="H257" s="6">
        <v>1000458</v>
      </c>
      <c r="I257" s="6">
        <v>3589010</v>
      </c>
      <c r="J257" s="6">
        <v>1340465</v>
      </c>
      <c r="K257">
        <v>0</v>
      </c>
      <c r="L257" s="6">
        <v>4929475</v>
      </c>
      <c r="M257" s="6">
        <v>8732</v>
      </c>
      <c r="N257" s="6">
        <v>2550</v>
      </c>
      <c r="O257" s="6">
        <v>11282</v>
      </c>
      <c r="P257" s="6">
        <v>597821</v>
      </c>
      <c r="Q257" s="6">
        <v>0</v>
      </c>
      <c r="R257" s="6">
        <v>413798</v>
      </c>
      <c r="S257" s="6">
        <v>463260</v>
      </c>
      <c r="T257" s="6">
        <v>6415636</v>
      </c>
      <c r="U257" s="6">
        <v>4195563</v>
      </c>
      <c r="V257" s="6">
        <v>2220073</v>
      </c>
    </row>
    <row r="258" spans="1:22" x14ac:dyDescent="0.25">
      <c r="A258">
        <v>2025</v>
      </c>
      <c r="B258" s="1" t="s">
        <v>17</v>
      </c>
      <c r="C258" t="s">
        <v>53</v>
      </c>
      <c r="D258" s="1" t="s">
        <v>662</v>
      </c>
      <c r="E258" t="s">
        <v>337</v>
      </c>
      <c r="F258" s="6">
        <v>529148</v>
      </c>
      <c r="G258" s="6">
        <v>418581</v>
      </c>
      <c r="H258" s="6">
        <v>91247</v>
      </c>
      <c r="I258" s="6">
        <v>327334</v>
      </c>
      <c r="J258" s="6">
        <v>110567</v>
      </c>
      <c r="K258">
        <v>0</v>
      </c>
      <c r="L258" s="6">
        <v>437901</v>
      </c>
      <c r="M258">
        <v>473</v>
      </c>
      <c r="N258">
        <v>124</v>
      </c>
      <c r="O258">
        <v>597</v>
      </c>
      <c r="P258" s="6">
        <v>50199</v>
      </c>
      <c r="Q258" s="6">
        <v>0</v>
      </c>
      <c r="R258" s="6">
        <v>37054</v>
      </c>
      <c r="S258" s="6">
        <v>40741</v>
      </c>
      <c r="T258" s="6">
        <v>566492</v>
      </c>
      <c r="U258" s="6">
        <v>378006</v>
      </c>
      <c r="V258" s="6">
        <v>188486</v>
      </c>
    </row>
    <row r="259" spans="1:22" x14ac:dyDescent="0.25">
      <c r="A259">
        <v>2025</v>
      </c>
      <c r="B259" s="1" t="s">
        <v>14</v>
      </c>
      <c r="C259" t="s">
        <v>50</v>
      </c>
      <c r="D259" s="1" t="s">
        <v>663</v>
      </c>
      <c r="E259" t="s">
        <v>338</v>
      </c>
      <c r="F259" s="6">
        <v>363237</v>
      </c>
      <c r="G259" s="6">
        <v>278438</v>
      </c>
      <c r="H259" s="6">
        <v>60697</v>
      </c>
      <c r="I259" s="6">
        <v>217741</v>
      </c>
      <c r="J259" s="6">
        <v>84799</v>
      </c>
      <c r="K259">
        <v>0</v>
      </c>
      <c r="L259" s="6">
        <v>302540</v>
      </c>
      <c r="M259">
        <v>0</v>
      </c>
      <c r="N259">
        <v>0</v>
      </c>
      <c r="O259">
        <v>0</v>
      </c>
      <c r="P259" s="6">
        <v>38455</v>
      </c>
      <c r="Q259" s="6">
        <v>0</v>
      </c>
      <c r="R259" s="6">
        <v>24654</v>
      </c>
      <c r="S259" s="6">
        <v>27610</v>
      </c>
      <c r="T259" s="6">
        <v>393259</v>
      </c>
      <c r="U259" s="6">
        <v>256196</v>
      </c>
      <c r="V259" s="6">
        <v>137063</v>
      </c>
    </row>
    <row r="260" spans="1:22" x14ac:dyDescent="0.25">
      <c r="A260">
        <v>2025</v>
      </c>
      <c r="B260" s="1" t="s">
        <v>14</v>
      </c>
      <c r="C260" t="s">
        <v>50</v>
      </c>
      <c r="D260" s="1" t="s">
        <v>664</v>
      </c>
      <c r="E260" t="s">
        <v>339</v>
      </c>
      <c r="F260" s="6">
        <v>236713</v>
      </c>
      <c r="G260" s="6">
        <v>181451</v>
      </c>
      <c r="H260" s="6">
        <v>39555</v>
      </c>
      <c r="I260" s="6">
        <v>141896</v>
      </c>
      <c r="J260" s="6">
        <v>55262</v>
      </c>
      <c r="K260">
        <v>262</v>
      </c>
      <c r="L260" s="6">
        <v>197420</v>
      </c>
      <c r="M260">
        <v>0</v>
      </c>
      <c r="N260">
        <v>0</v>
      </c>
      <c r="O260">
        <v>0</v>
      </c>
      <c r="P260" s="6">
        <v>25104</v>
      </c>
      <c r="Q260" s="6">
        <v>0</v>
      </c>
      <c r="R260" s="6">
        <v>15710</v>
      </c>
      <c r="S260" s="6">
        <v>17593</v>
      </c>
      <c r="T260" s="6">
        <v>255827</v>
      </c>
      <c r="U260" s="6">
        <v>167000</v>
      </c>
      <c r="V260" s="6">
        <v>88827</v>
      </c>
    </row>
    <row r="261" spans="1:22" x14ac:dyDescent="0.25">
      <c r="A261">
        <v>2025</v>
      </c>
      <c r="B261" s="1" t="s">
        <v>19</v>
      </c>
      <c r="C261" t="s">
        <v>55</v>
      </c>
      <c r="D261" s="1" t="s">
        <v>665</v>
      </c>
      <c r="E261" t="s">
        <v>340</v>
      </c>
      <c r="F261" s="6">
        <v>243093</v>
      </c>
      <c r="G261" s="6">
        <v>188141</v>
      </c>
      <c r="H261" s="6">
        <v>41013</v>
      </c>
      <c r="I261" s="6">
        <v>147128</v>
      </c>
      <c r="J261" s="6">
        <v>54952</v>
      </c>
      <c r="K261">
        <v>0</v>
      </c>
      <c r="L261" s="6">
        <v>202080</v>
      </c>
      <c r="M261">
        <v>367</v>
      </c>
      <c r="N261">
        <v>107</v>
      </c>
      <c r="O261">
        <v>474</v>
      </c>
      <c r="P261" s="6">
        <v>24507</v>
      </c>
      <c r="Q261" s="6">
        <v>0</v>
      </c>
      <c r="R261" s="6">
        <v>16717</v>
      </c>
      <c r="S261" s="6">
        <v>18715</v>
      </c>
      <c r="T261" s="6">
        <v>262493</v>
      </c>
      <c r="U261" s="6">
        <v>172003</v>
      </c>
      <c r="V261" s="6">
        <v>90490</v>
      </c>
    </row>
    <row r="262" spans="1:22" x14ac:dyDescent="0.25">
      <c r="A262">
        <v>2025</v>
      </c>
      <c r="B262" s="1" t="s">
        <v>20</v>
      </c>
      <c r="C262" t="s">
        <v>56</v>
      </c>
      <c r="D262" s="1" t="s">
        <v>666</v>
      </c>
      <c r="E262" t="s">
        <v>341</v>
      </c>
      <c r="F262" s="6">
        <v>78403</v>
      </c>
      <c r="G262" s="6">
        <v>61846</v>
      </c>
      <c r="H262" s="6">
        <v>13481</v>
      </c>
      <c r="I262" s="6">
        <v>48365</v>
      </c>
      <c r="J262" s="6">
        <v>16557</v>
      </c>
      <c r="K262" s="6">
        <v>1373</v>
      </c>
      <c r="L262" s="6">
        <v>66295</v>
      </c>
      <c r="M262">
        <v>127</v>
      </c>
      <c r="N262">
        <v>34</v>
      </c>
      <c r="O262">
        <v>161</v>
      </c>
      <c r="P262" s="6">
        <v>8051</v>
      </c>
      <c r="Q262">
        <v>0</v>
      </c>
      <c r="R262" s="6">
        <v>5021</v>
      </c>
      <c r="S262" s="6">
        <v>5552</v>
      </c>
      <c r="T262" s="6">
        <v>85080</v>
      </c>
      <c r="U262" s="6">
        <v>56543</v>
      </c>
      <c r="V262" s="6">
        <v>28537</v>
      </c>
    </row>
    <row r="263" spans="1:22" x14ac:dyDescent="0.25">
      <c r="A263">
        <v>2025</v>
      </c>
      <c r="B263" s="1" t="s">
        <v>15</v>
      </c>
      <c r="C263" t="s">
        <v>51</v>
      </c>
      <c r="D263" s="1" t="s">
        <v>667</v>
      </c>
      <c r="E263" t="s">
        <v>342</v>
      </c>
      <c r="F263" s="6">
        <v>566196</v>
      </c>
      <c r="G263" s="6">
        <v>442341</v>
      </c>
      <c r="H263" s="6">
        <v>96425</v>
      </c>
      <c r="I263" s="6">
        <v>345916</v>
      </c>
      <c r="J263" s="6">
        <v>123855</v>
      </c>
      <c r="K263">
        <v>0</v>
      </c>
      <c r="L263" s="6">
        <v>469771</v>
      </c>
      <c r="M263">
        <v>548</v>
      </c>
      <c r="N263">
        <v>154</v>
      </c>
      <c r="O263">
        <v>702</v>
      </c>
      <c r="P263" s="6">
        <v>70004</v>
      </c>
      <c r="Q263" s="6">
        <v>0</v>
      </c>
      <c r="R263" s="6">
        <v>35902</v>
      </c>
      <c r="S263" s="6">
        <v>40024</v>
      </c>
      <c r="T263" s="6">
        <v>616403</v>
      </c>
      <c r="U263" s="6">
        <v>416468</v>
      </c>
      <c r="V263" s="6">
        <v>199935</v>
      </c>
    </row>
    <row r="264" spans="1:22" x14ac:dyDescent="0.25">
      <c r="A264">
        <v>2025</v>
      </c>
      <c r="B264" s="1" t="s">
        <v>13</v>
      </c>
      <c r="C264" t="s">
        <v>49</v>
      </c>
      <c r="D264" s="1" t="s">
        <v>668</v>
      </c>
      <c r="E264" t="s">
        <v>343</v>
      </c>
      <c r="F264" s="6">
        <v>222665</v>
      </c>
      <c r="G264" s="6">
        <v>168647</v>
      </c>
      <c r="H264" s="6">
        <v>36764</v>
      </c>
      <c r="I264" s="6">
        <v>131883</v>
      </c>
      <c r="J264" s="6">
        <v>54018</v>
      </c>
      <c r="K264">
        <v>0</v>
      </c>
      <c r="L264" s="6">
        <v>185901</v>
      </c>
      <c r="M264">
        <v>440</v>
      </c>
      <c r="N264">
        <v>141</v>
      </c>
      <c r="O264">
        <v>581</v>
      </c>
      <c r="P264" s="6">
        <v>22068</v>
      </c>
      <c r="Q264" s="6">
        <v>0</v>
      </c>
      <c r="R264" s="6">
        <v>17764</v>
      </c>
      <c r="S264" s="6">
        <v>19787</v>
      </c>
      <c r="T264" s="6">
        <v>246101</v>
      </c>
      <c r="U264" s="6">
        <v>154392</v>
      </c>
      <c r="V264" s="6">
        <v>91709</v>
      </c>
    </row>
    <row r="265" spans="1:22" x14ac:dyDescent="0.25">
      <c r="A265">
        <v>2025</v>
      </c>
      <c r="B265" s="1" t="s">
        <v>18</v>
      </c>
      <c r="C265" t="s">
        <v>54</v>
      </c>
      <c r="D265" s="1" t="s">
        <v>669</v>
      </c>
      <c r="E265" t="s">
        <v>344</v>
      </c>
      <c r="F265" s="6">
        <v>2765487</v>
      </c>
      <c r="G265" s="6">
        <v>2234102</v>
      </c>
      <c r="H265" s="6">
        <v>487012</v>
      </c>
      <c r="I265" s="6">
        <v>1747090</v>
      </c>
      <c r="J265" s="6">
        <v>531385</v>
      </c>
      <c r="K265">
        <v>0</v>
      </c>
      <c r="L265" s="6">
        <v>2278475</v>
      </c>
      <c r="M265">
        <v>0</v>
      </c>
      <c r="N265">
        <v>0</v>
      </c>
      <c r="O265">
        <v>0</v>
      </c>
      <c r="P265" s="6">
        <v>236732</v>
      </c>
      <c r="Q265" s="6">
        <v>0</v>
      </c>
      <c r="R265" s="6">
        <v>193263</v>
      </c>
      <c r="S265" s="6">
        <v>212349</v>
      </c>
      <c r="T265" s="6">
        <v>2920819</v>
      </c>
      <c r="U265" s="6">
        <v>1983822</v>
      </c>
      <c r="V265" s="6">
        <v>936997</v>
      </c>
    </row>
    <row r="266" spans="1:22" x14ac:dyDescent="0.25">
      <c r="A266">
        <v>2025</v>
      </c>
      <c r="B266" s="1" t="s">
        <v>14</v>
      </c>
      <c r="C266" t="s">
        <v>50</v>
      </c>
      <c r="D266" s="1" t="s">
        <v>670</v>
      </c>
      <c r="E266" t="s">
        <v>345</v>
      </c>
      <c r="F266" s="6">
        <v>436501</v>
      </c>
      <c r="G266" s="6">
        <v>334598</v>
      </c>
      <c r="H266" s="6">
        <v>72939</v>
      </c>
      <c r="I266" s="6">
        <v>261659</v>
      </c>
      <c r="J266" s="6">
        <v>101903</v>
      </c>
      <c r="K266">
        <v>0</v>
      </c>
      <c r="L266" s="6">
        <v>363562</v>
      </c>
      <c r="M266">
        <v>0</v>
      </c>
      <c r="N266">
        <v>0</v>
      </c>
      <c r="O266">
        <v>0</v>
      </c>
      <c r="P266" s="6">
        <v>46212</v>
      </c>
      <c r="Q266" s="6">
        <v>0</v>
      </c>
      <c r="R266" s="6">
        <v>28985</v>
      </c>
      <c r="S266" s="6">
        <v>32460</v>
      </c>
      <c r="T266" s="6">
        <v>471219</v>
      </c>
      <c r="U266" s="6">
        <v>307871</v>
      </c>
      <c r="V266" s="6">
        <v>163348</v>
      </c>
    </row>
    <row r="267" spans="1:22" x14ac:dyDescent="0.25">
      <c r="A267">
        <v>2025</v>
      </c>
      <c r="B267" s="1" t="s">
        <v>18</v>
      </c>
      <c r="C267" t="s">
        <v>54</v>
      </c>
      <c r="D267" s="1" t="s">
        <v>671</v>
      </c>
      <c r="E267" t="s">
        <v>346</v>
      </c>
      <c r="F267" s="6">
        <v>183841</v>
      </c>
      <c r="G267" s="6">
        <v>148516</v>
      </c>
      <c r="H267" s="6">
        <v>32375</v>
      </c>
      <c r="I267" s="6">
        <v>116141</v>
      </c>
      <c r="J267" s="6">
        <v>35325</v>
      </c>
      <c r="K267" s="6">
        <v>6715</v>
      </c>
      <c r="L267" s="6">
        <v>158181</v>
      </c>
      <c r="M267">
        <v>0</v>
      </c>
      <c r="N267">
        <v>0</v>
      </c>
      <c r="O267">
        <v>0</v>
      </c>
      <c r="P267" s="6">
        <v>15737</v>
      </c>
      <c r="Q267" s="6">
        <v>0</v>
      </c>
      <c r="R267" s="6">
        <v>12591</v>
      </c>
      <c r="S267" s="6">
        <v>13834</v>
      </c>
      <c r="T267" s="6">
        <v>200343</v>
      </c>
      <c r="U267" s="6">
        <v>131878</v>
      </c>
      <c r="V267" s="6">
        <v>68465</v>
      </c>
    </row>
    <row r="268" spans="1:22" x14ac:dyDescent="0.25">
      <c r="A268">
        <v>2025</v>
      </c>
      <c r="B268" s="1" t="s">
        <v>14</v>
      </c>
      <c r="C268" t="s">
        <v>50</v>
      </c>
      <c r="D268" s="1" t="s">
        <v>672</v>
      </c>
      <c r="E268" t="s">
        <v>347</v>
      </c>
      <c r="F268" s="6">
        <v>838420</v>
      </c>
      <c r="G268" s="6">
        <v>642686</v>
      </c>
      <c r="H268" s="6">
        <v>140099</v>
      </c>
      <c r="I268" s="6">
        <v>502587</v>
      </c>
      <c r="J268" s="6">
        <v>195734</v>
      </c>
      <c r="K268">
        <v>0</v>
      </c>
      <c r="L268" s="6">
        <v>698321</v>
      </c>
      <c r="M268">
        <v>0</v>
      </c>
      <c r="N268">
        <v>0</v>
      </c>
      <c r="O268">
        <v>0</v>
      </c>
      <c r="P268" s="6">
        <v>88762</v>
      </c>
      <c r="Q268" s="6">
        <v>0</v>
      </c>
      <c r="R268" s="6">
        <v>57048</v>
      </c>
      <c r="S268" s="6">
        <v>63886</v>
      </c>
      <c r="T268" s="6">
        <v>908017</v>
      </c>
      <c r="U268" s="6">
        <v>591349</v>
      </c>
      <c r="V268" s="6">
        <v>316668</v>
      </c>
    </row>
    <row r="269" spans="1:22" x14ac:dyDescent="0.25">
      <c r="A269">
        <v>2025</v>
      </c>
      <c r="B269" s="1" t="s">
        <v>14</v>
      </c>
      <c r="C269" t="s">
        <v>50</v>
      </c>
      <c r="D269" s="1" t="s">
        <v>673</v>
      </c>
      <c r="E269" t="s">
        <v>348</v>
      </c>
      <c r="F269" s="6">
        <v>457018</v>
      </c>
      <c r="G269" s="6">
        <v>350325</v>
      </c>
      <c r="H269" s="6">
        <v>76367</v>
      </c>
      <c r="I269" s="6">
        <v>273958</v>
      </c>
      <c r="J269" s="6">
        <v>106693</v>
      </c>
      <c r="K269">
        <v>0</v>
      </c>
      <c r="L269" s="6">
        <v>380651</v>
      </c>
      <c r="M269">
        <v>0</v>
      </c>
      <c r="N269">
        <v>0</v>
      </c>
      <c r="O269">
        <v>0</v>
      </c>
      <c r="P269" s="6">
        <v>48384</v>
      </c>
      <c r="Q269" s="6">
        <v>0</v>
      </c>
      <c r="R269" s="6">
        <v>30010</v>
      </c>
      <c r="S269" s="6">
        <v>33608</v>
      </c>
      <c r="T269" s="6">
        <v>492653</v>
      </c>
      <c r="U269" s="6">
        <v>322342</v>
      </c>
      <c r="V269" s="6">
        <v>170311</v>
      </c>
    </row>
    <row r="270" spans="1:22" x14ac:dyDescent="0.25">
      <c r="A270">
        <v>2025</v>
      </c>
      <c r="B270" s="1" t="s">
        <v>17</v>
      </c>
      <c r="C270" t="s">
        <v>53</v>
      </c>
      <c r="D270" s="1" t="s">
        <v>674</v>
      </c>
      <c r="E270" t="s">
        <v>349</v>
      </c>
      <c r="F270" s="6">
        <v>151331</v>
      </c>
      <c r="G270" s="6">
        <v>119710</v>
      </c>
      <c r="H270" s="6">
        <v>26095</v>
      </c>
      <c r="I270" s="6">
        <v>93615</v>
      </c>
      <c r="J270" s="6">
        <v>31621</v>
      </c>
      <c r="K270">
        <v>0</v>
      </c>
      <c r="L270" s="6">
        <v>125236</v>
      </c>
      <c r="M270">
        <v>135</v>
      </c>
      <c r="N270">
        <v>36</v>
      </c>
      <c r="O270">
        <v>171</v>
      </c>
      <c r="P270" s="6">
        <v>14356</v>
      </c>
      <c r="Q270" s="6">
        <v>0</v>
      </c>
      <c r="R270" s="6">
        <v>10729</v>
      </c>
      <c r="S270" s="6">
        <v>11796</v>
      </c>
      <c r="T270" s="6">
        <v>162288</v>
      </c>
      <c r="U270" s="6">
        <v>108106</v>
      </c>
      <c r="V270" s="6">
        <v>54182</v>
      </c>
    </row>
    <row r="271" spans="1:22" x14ac:dyDescent="0.25">
      <c r="A271">
        <v>2025</v>
      </c>
      <c r="B271" s="1" t="s">
        <v>15</v>
      </c>
      <c r="C271" t="s">
        <v>51</v>
      </c>
      <c r="D271" s="1" t="s">
        <v>675</v>
      </c>
      <c r="E271" t="s">
        <v>350</v>
      </c>
      <c r="F271" s="6">
        <v>219584</v>
      </c>
      <c r="G271" s="6">
        <v>171550</v>
      </c>
      <c r="H271" s="6">
        <v>37397</v>
      </c>
      <c r="I271" s="6">
        <v>134153</v>
      </c>
      <c r="J271" s="6">
        <v>48034</v>
      </c>
      <c r="K271">
        <v>0</v>
      </c>
      <c r="L271" s="6">
        <v>182187</v>
      </c>
      <c r="M271">
        <v>211</v>
      </c>
      <c r="N271">
        <v>59</v>
      </c>
      <c r="O271">
        <v>270</v>
      </c>
      <c r="P271" s="6">
        <v>27041</v>
      </c>
      <c r="Q271" s="6">
        <v>0</v>
      </c>
      <c r="R271" s="6">
        <v>14699</v>
      </c>
      <c r="S271" s="6">
        <v>16386</v>
      </c>
      <c r="T271" s="6">
        <v>240583</v>
      </c>
      <c r="U271" s="6">
        <v>161405</v>
      </c>
      <c r="V271" s="6">
        <v>79178</v>
      </c>
    </row>
    <row r="272" spans="1:22" x14ac:dyDescent="0.25">
      <c r="A272">
        <v>2025</v>
      </c>
      <c r="B272" s="1" t="s">
        <v>20</v>
      </c>
      <c r="C272" t="s">
        <v>56</v>
      </c>
      <c r="D272" s="1" t="s">
        <v>676</v>
      </c>
      <c r="E272" t="s">
        <v>351</v>
      </c>
      <c r="F272" s="6">
        <v>70342</v>
      </c>
      <c r="G272" s="6">
        <v>55488</v>
      </c>
      <c r="H272" s="6">
        <v>12096</v>
      </c>
      <c r="I272" s="6">
        <v>43392</v>
      </c>
      <c r="J272" s="6">
        <v>14854</v>
      </c>
      <c r="K272" s="6">
        <v>1515</v>
      </c>
      <c r="L272" s="6">
        <v>59761</v>
      </c>
      <c r="M272">
        <v>113</v>
      </c>
      <c r="N272">
        <v>31</v>
      </c>
      <c r="O272">
        <v>144</v>
      </c>
      <c r="P272" s="6">
        <v>7379</v>
      </c>
      <c r="Q272">
        <v>0</v>
      </c>
      <c r="R272" s="6">
        <v>4766</v>
      </c>
      <c r="S272" s="6">
        <v>5270</v>
      </c>
      <c r="T272" s="6">
        <v>77320</v>
      </c>
      <c r="U272" s="6">
        <v>50884</v>
      </c>
      <c r="V272" s="6">
        <v>26436</v>
      </c>
    </row>
    <row r="273" spans="1:22" x14ac:dyDescent="0.25">
      <c r="A273">
        <v>2025</v>
      </c>
      <c r="B273" s="1" t="s">
        <v>13</v>
      </c>
      <c r="C273" t="s">
        <v>49</v>
      </c>
      <c r="D273" s="1" t="s">
        <v>677</v>
      </c>
      <c r="E273" t="s">
        <v>352</v>
      </c>
      <c r="F273" s="6">
        <v>241936</v>
      </c>
      <c r="G273" s="6">
        <v>183244</v>
      </c>
      <c r="H273" s="6">
        <v>39945</v>
      </c>
      <c r="I273" s="6">
        <v>143299</v>
      </c>
      <c r="J273" s="6">
        <v>58692</v>
      </c>
      <c r="K273">
        <v>0</v>
      </c>
      <c r="L273" s="6">
        <v>201991</v>
      </c>
      <c r="M273">
        <v>478</v>
      </c>
      <c r="N273">
        <v>153</v>
      </c>
      <c r="O273">
        <v>631</v>
      </c>
      <c r="P273" s="6">
        <v>23978</v>
      </c>
      <c r="Q273" s="6">
        <v>0</v>
      </c>
      <c r="R273" s="6">
        <v>14769</v>
      </c>
      <c r="S273" s="6">
        <v>16452</v>
      </c>
      <c r="T273" s="6">
        <v>257821</v>
      </c>
      <c r="U273" s="6">
        <v>167755</v>
      </c>
      <c r="V273" s="6">
        <v>90066</v>
      </c>
    </row>
    <row r="274" spans="1:22" x14ac:dyDescent="0.25">
      <c r="A274">
        <v>2025</v>
      </c>
      <c r="B274" s="1" t="s">
        <v>14</v>
      </c>
      <c r="C274" t="s">
        <v>50</v>
      </c>
      <c r="D274" s="1" t="s">
        <v>678</v>
      </c>
      <c r="E274" t="s">
        <v>353</v>
      </c>
      <c r="F274" s="6">
        <v>1026416</v>
      </c>
      <c r="G274" s="6">
        <v>786794</v>
      </c>
      <c r="H274" s="6">
        <v>171513</v>
      </c>
      <c r="I274" s="6">
        <v>615281</v>
      </c>
      <c r="J274" s="6">
        <v>239622</v>
      </c>
      <c r="K274">
        <v>0</v>
      </c>
      <c r="L274" s="6">
        <v>854903</v>
      </c>
      <c r="M274">
        <v>0</v>
      </c>
      <c r="N274">
        <v>0</v>
      </c>
      <c r="O274">
        <v>0</v>
      </c>
      <c r="P274" s="6">
        <v>108665</v>
      </c>
      <c r="Q274" s="6">
        <v>0</v>
      </c>
      <c r="R274" s="6">
        <v>71092</v>
      </c>
      <c r="S274" s="6">
        <v>79614</v>
      </c>
      <c r="T274" s="6">
        <v>1114274</v>
      </c>
      <c r="U274" s="6">
        <v>723946</v>
      </c>
      <c r="V274" s="6">
        <v>390328</v>
      </c>
    </row>
    <row r="275" spans="1:22" x14ac:dyDescent="0.25">
      <c r="A275">
        <v>2025</v>
      </c>
      <c r="B275" s="1" t="s">
        <v>14</v>
      </c>
      <c r="C275" t="s">
        <v>50</v>
      </c>
      <c r="D275" s="1" t="s">
        <v>679</v>
      </c>
      <c r="E275" t="s">
        <v>354</v>
      </c>
      <c r="F275" s="6">
        <v>60274</v>
      </c>
      <c r="G275" s="6">
        <v>46202</v>
      </c>
      <c r="H275" s="6">
        <v>10071</v>
      </c>
      <c r="I275" s="6">
        <v>36131</v>
      </c>
      <c r="J275" s="6">
        <v>14072</v>
      </c>
      <c r="K275" s="6">
        <v>3237</v>
      </c>
      <c r="L275" s="6">
        <v>53440</v>
      </c>
      <c r="M275">
        <v>0</v>
      </c>
      <c r="N275">
        <v>0</v>
      </c>
      <c r="O275">
        <v>0</v>
      </c>
      <c r="P275" s="6">
        <v>6381</v>
      </c>
      <c r="Q275">
        <v>0</v>
      </c>
      <c r="R275" s="6">
        <v>3844</v>
      </c>
      <c r="S275" s="6">
        <v>4305</v>
      </c>
      <c r="T275" s="6">
        <v>67970</v>
      </c>
      <c r="U275" s="6">
        <v>42512</v>
      </c>
      <c r="V275" s="6">
        <v>25458</v>
      </c>
    </row>
    <row r="276" spans="1:22" x14ac:dyDescent="0.25">
      <c r="A276">
        <v>2025</v>
      </c>
      <c r="B276" s="1" t="s">
        <v>15</v>
      </c>
      <c r="C276" t="s">
        <v>51</v>
      </c>
      <c r="D276" s="1" t="s">
        <v>680</v>
      </c>
      <c r="E276" t="s">
        <v>355</v>
      </c>
      <c r="F276" s="6">
        <v>314724</v>
      </c>
      <c r="G276" s="6">
        <v>245878</v>
      </c>
      <c r="H276" s="6">
        <v>53599</v>
      </c>
      <c r="I276" s="6">
        <v>192279</v>
      </c>
      <c r="J276" s="6">
        <v>68846</v>
      </c>
      <c r="K276">
        <v>0</v>
      </c>
      <c r="L276" s="6">
        <v>261125</v>
      </c>
      <c r="M276">
        <v>305</v>
      </c>
      <c r="N276">
        <v>86</v>
      </c>
      <c r="O276">
        <v>391</v>
      </c>
      <c r="P276" s="6">
        <v>38758</v>
      </c>
      <c r="Q276" s="6">
        <v>0</v>
      </c>
      <c r="R276" s="6">
        <v>20000</v>
      </c>
      <c r="S276" s="6">
        <v>22296</v>
      </c>
      <c r="T276" s="6">
        <v>342570</v>
      </c>
      <c r="U276" s="6">
        <v>231342</v>
      </c>
      <c r="V276" s="6">
        <v>111228</v>
      </c>
    </row>
    <row r="277" spans="1:22" x14ac:dyDescent="0.25">
      <c r="A277">
        <v>2025</v>
      </c>
      <c r="B277" s="1" t="s">
        <v>17</v>
      </c>
      <c r="C277" t="s">
        <v>53</v>
      </c>
      <c r="D277" s="1" t="s">
        <v>681</v>
      </c>
      <c r="E277" t="s">
        <v>356</v>
      </c>
      <c r="F277" s="6">
        <v>314274</v>
      </c>
      <c r="G277" s="6">
        <v>248605</v>
      </c>
      <c r="H277" s="6">
        <v>54193</v>
      </c>
      <c r="I277" s="6">
        <v>194412</v>
      </c>
      <c r="J277" s="6">
        <v>65669</v>
      </c>
      <c r="K277" s="6">
        <v>5760</v>
      </c>
      <c r="L277" s="6">
        <v>265841</v>
      </c>
      <c r="M277">
        <v>281</v>
      </c>
      <c r="N277">
        <v>74</v>
      </c>
      <c r="O277">
        <v>355</v>
      </c>
      <c r="P277" s="6">
        <v>30295</v>
      </c>
      <c r="Q277" s="6">
        <v>0</v>
      </c>
      <c r="R277" s="6">
        <v>20642</v>
      </c>
      <c r="S277" s="6">
        <v>22696</v>
      </c>
      <c r="T277" s="6">
        <v>339829</v>
      </c>
      <c r="U277" s="6">
        <v>224988</v>
      </c>
      <c r="V277" s="6">
        <v>114841</v>
      </c>
    </row>
    <row r="278" spans="1:22" x14ac:dyDescent="0.25">
      <c r="A278">
        <v>2025</v>
      </c>
      <c r="B278" s="1" t="s">
        <v>20</v>
      </c>
      <c r="C278" t="s">
        <v>56</v>
      </c>
      <c r="D278" s="1" t="s">
        <v>682</v>
      </c>
      <c r="E278" t="s">
        <v>357</v>
      </c>
      <c r="F278" s="6">
        <v>207945</v>
      </c>
      <c r="G278" s="6">
        <v>164033</v>
      </c>
      <c r="H278" s="6">
        <v>35757</v>
      </c>
      <c r="I278" s="6">
        <v>128276</v>
      </c>
      <c r="J278" s="6">
        <v>43912</v>
      </c>
      <c r="K278" s="6">
        <v>0</v>
      </c>
      <c r="L278" s="6">
        <v>172188</v>
      </c>
      <c r="M278">
        <v>338</v>
      </c>
      <c r="N278">
        <v>90</v>
      </c>
      <c r="O278">
        <v>428</v>
      </c>
      <c r="P278" s="6">
        <v>21355</v>
      </c>
      <c r="Q278" s="6">
        <v>0</v>
      </c>
      <c r="R278" s="6">
        <v>15522</v>
      </c>
      <c r="S278" s="6">
        <v>17162</v>
      </c>
      <c r="T278" s="6">
        <v>226655</v>
      </c>
      <c r="U278" s="6">
        <v>149969</v>
      </c>
      <c r="V278" s="6">
        <v>76686</v>
      </c>
    </row>
    <row r="279" spans="1:22" x14ac:dyDescent="0.25">
      <c r="A279">
        <v>2025</v>
      </c>
      <c r="B279" s="1" t="s">
        <v>20</v>
      </c>
      <c r="C279" t="s">
        <v>56</v>
      </c>
      <c r="D279" s="1" t="s">
        <v>683</v>
      </c>
      <c r="E279" t="s">
        <v>358</v>
      </c>
      <c r="F279" s="6">
        <v>249170</v>
      </c>
      <c r="G279" s="6">
        <v>196552</v>
      </c>
      <c r="H279" s="6">
        <v>42846</v>
      </c>
      <c r="I279" s="6">
        <v>153706</v>
      </c>
      <c r="J279" s="6">
        <v>52618</v>
      </c>
      <c r="K279">
        <v>0</v>
      </c>
      <c r="L279" s="6">
        <v>206324</v>
      </c>
      <c r="M279">
        <v>405</v>
      </c>
      <c r="N279">
        <v>108</v>
      </c>
      <c r="O279">
        <v>513</v>
      </c>
      <c r="P279" s="6">
        <v>25588</v>
      </c>
      <c r="Q279" s="6">
        <v>0</v>
      </c>
      <c r="R279" s="6">
        <v>16848</v>
      </c>
      <c r="S279" s="6">
        <v>18627</v>
      </c>
      <c r="T279" s="6">
        <v>267900</v>
      </c>
      <c r="U279" s="6">
        <v>179699</v>
      </c>
      <c r="V279" s="6">
        <v>88201</v>
      </c>
    </row>
    <row r="280" spans="1:22" x14ac:dyDescent="0.25">
      <c r="A280">
        <v>2025</v>
      </c>
      <c r="B280" s="1" t="s">
        <v>21</v>
      </c>
      <c r="C280" t="s">
        <v>57</v>
      </c>
      <c r="D280" s="1" t="s">
        <v>684</v>
      </c>
      <c r="E280" t="s">
        <v>359</v>
      </c>
      <c r="F280" s="6">
        <v>98258</v>
      </c>
      <c r="G280" s="6">
        <v>78111</v>
      </c>
      <c r="H280" s="6">
        <v>17027</v>
      </c>
      <c r="I280" s="6">
        <v>61084</v>
      </c>
      <c r="J280" s="6">
        <v>20147</v>
      </c>
      <c r="K280">
        <v>269</v>
      </c>
      <c r="L280" s="6">
        <v>81500</v>
      </c>
      <c r="M280">
        <v>181</v>
      </c>
      <c r="N280">
        <v>47</v>
      </c>
      <c r="O280">
        <v>228</v>
      </c>
      <c r="P280" s="6">
        <v>9882</v>
      </c>
      <c r="Q280" s="6">
        <v>0</v>
      </c>
      <c r="R280" s="6">
        <v>6700</v>
      </c>
      <c r="S280" s="6">
        <v>7366</v>
      </c>
      <c r="T280" s="6">
        <v>105676</v>
      </c>
      <c r="U280" s="6">
        <v>71147</v>
      </c>
      <c r="V280" s="6">
        <v>34529</v>
      </c>
    </row>
    <row r="281" spans="1:22" x14ac:dyDescent="0.25">
      <c r="A281">
        <v>2025</v>
      </c>
      <c r="B281" s="1" t="s">
        <v>15</v>
      </c>
      <c r="C281" t="s">
        <v>51</v>
      </c>
      <c r="D281" s="1" t="s">
        <v>685</v>
      </c>
      <c r="E281" t="s">
        <v>360</v>
      </c>
      <c r="F281" s="6">
        <v>152105</v>
      </c>
      <c r="G281" s="6">
        <v>118832</v>
      </c>
      <c r="H281" s="6">
        <v>25905</v>
      </c>
      <c r="I281" s="6">
        <v>92927</v>
      </c>
      <c r="J281" s="6">
        <v>33273</v>
      </c>
      <c r="K281" s="6">
        <v>219</v>
      </c>
      <c r="L281" s="6">
        <v>126419</v>
      </c>
      <c r="M281">
        <v>146</v>
      </c>
      <c r="N281">
        <v>41</v>
      </c>
      <c r="O281">
        <v>187</v>
      </c>
      <c r="P281" s="6">
        <v>18732</v>
      </c>
      <c r="Q281" s="6">
        <v>0</v>
      </c>
      <c r="R281" s="6">
        <v>9808</v>
      </c>
      <c r="S281" s="6">
        <v>10934</v>
      </c>
      <c r="T281" s="6">
        <v>166080</v>
      </c>
      <c r="U281" s="6">
        <v>111805</v>
      </c>
      <c r="V281" s="6">
        <v>54275</v>
      </c>
    </row>
    <row r="282" spans="1:22" x14ac:dyDescent="0.25">
      <c r="A282">
        <v>2025</v>
      </c>
      <c r="B282" s="1" t="s">
        <v>13</v>
      </c>
      <c r="C282" t="s">
        <v>49</v>
      </c>
      <c r="D282" s="1" t="s">
        <v>686</v>
      </c>
      <c r="E282" t="s">
        <v>361</v>
      </c>
      <c r="F282" s="6">
        <v>144228</v>
      </c>
      <c r="G282" s="6">
        <v>109239</v>
      </c>
      <c r="H282" s="6">
        <v>23813</v>
      </c>
      <c r="I282" s="6">
        <v>85426</v>
      </c>
      <c r="J282" s="6">
        <v>34989</v>
      </c>
      <c r="K282" s="6">
        <v>2526</v>
      </c>
      <c r="L282" s="6">
        <v>122941</v>
      </c>
      <c r="M282">
        <v>286</v>
      </c>
      <c r="N282">
        <v>92</v>
      </c>
      <c r="O282">
        <v>378</v>
      </c>
      <c r="P282" s="6">
        <v>14294</v>
      </c>
      <c r="Q282" s="6">
        <v>0</v>
      </c>
      <c r="R282" s="6">
        <v>10520</v>
      </c>
      <c r="S282" s="6">
        <v>11718</v>
      </c>
      <c r="T282" s="6">
        <v>159851</v>
      </c>
      <c r="U282" s="6">
        <v>100007</v>
      </c>
      <c r="V282" s="6">
        <v>59844</v>
      </c>
    </row>
    <row r="283" spans="1:22" x14ac:dyDescent="0.25">
      <c r="A283">
        <v>2025</v>
      </c>
      <c r="B283" s="1" t="s">
        <v>18</v>
      </c>
      <c r="C283" t="s">
        <v>54</v>
      </c>
      <c r="D283" s="1" t="s">
        <v>687</v>
      </c>
      <c r="E283" t="s">
        <v>362</v>
      </c>
      <c r="F283" s="6">
        <v>127191</v>
      </c>
      <c r="G283" s="6">
        <v>102751</v>
      </c>
      <c r="H283" s="6">
        <v>22399</v>
      </c>
      <c r="I283" s="6">
        <v>80352</v>
      </c>
      <c r="J283" s="6">
        <v>24440</v>
      </c>
      <c r="K283" s="6">
        <v>1043</v>
      </c>
      <c r="L283" s="6">
        <v>105835</v>
      </c>
      <c r="M283">
        <v>0</v>
      </c>
      <c r="N283">
        <v>0</v>
      </c>
      <c r="O283">
        <v>0</v>
      </c>
      <c r="P283" s="6">
        <v>10920</v>
      </c>
      <c r="Q283" s="6">
        <v>0</v>
      </c>
      <c r="R283" s="6">
        <v>8292</v>
      </c>
      <c r="S283" s="6">
        <v>9111</v>
      </c>
      <c r="T283" s="6">
        <v>134158</v>
      </c>
      <c r="U283" s="6">
        <v>91272</v>
      </c>
      <c r="V283" s="6">
        <v>42886</v>
      </c>
    </row>
    <row r="284" spans="1:22" x14ac:dyDescent="0.25">
      <c r="A284">
        <v>2025</v>
      </c>
      <c r="B284" s="1" t="s">
        <v>14</v>
      </c>
      <c r="C284" t="s">
        <v>50</v>
      </c>
      <c r="D284" s="1" t="s">
        <v>688</v>
      </c>
      <c r="E284" t="s">
        <v>363</v>
      </c>
      <c r="F284" s="6">
        <v>63201</v>
      </c>
      <c r="G284" s="6">
        <v>48446</v>
      </c>
      <c r="H284" s="6">
        <v>10560</v>
      </c>
      <c r="I284" s="6">
        <v>37886</v>
      </c>
      <c r="J284" s="6">
        <v>14755</v>
      </c>
      <c r="K284" s="6">
        <v>2929</v>
      </c>
      <c r="L284" s="6">
        <v>55570</v>
      </c>
      <c r="M284">
        <v>0</v>
      </c>
      <c r="N284">
        <v>0</v>
      </c>
      <c r="O284">
        <v>0</v>
      </c>
      <c r="P284" s="6">
        <v>7005</v>
      </c>
      <c r="Q284">
        <v>0</v>
      </c>
      <c r="R284" s="6">
        <v>4357</v>
      </c>
      <c r="S284" s="6">
        <v>4879</v>
      </c>
      <c r="T284" s="6">
        <v>71811</v>
      </c>
      <c r="U284" s="6">
        <v>44891</v>
      </c>
      <c r="V284" s="6">
        <v>26920</v>
      </c>
    </row>
    <row r="285" spans="1:22" x14ac:dyDescent="0.25">
      <c r="A285">
        <v>2025</v>
      </c>
      <c r="B285" s="1" t="s">
        <v>20</v>
      </c>
      <c r="C285" t="s">
        <v>56</v>
      </c>
      <c r="D285" s="1" t="s">
        <v>689</v>
      </c>
      <c r="E285" t="s">
        <v>364</v>
      </c>
      <c r="F285" s="6">
        <v>278188</v>
      </c>
      <c r="G285" s="6">
        <v>219443</v>
      </c>
      <c r="H285" s="6">
        <v>47836</v>
      </c>
      <c r="I285" s="6">
        <v>171607</v>
      </c>
      <c r="J285" s="6">
        <v>58745</v>
      </c>
      <c r="K285" s="6">
        <v>3050</v>
      </c>
      <c r="L285" s="6">
        <v>233402</v>
      </c>
      <c r="M285">
        <v>451</v>
      </c>
      <c r="N285">
        <v>121</v>
      </c>
      <c r="O285">
        <v>572</v>
      </c>
      <c r="P285" s="6">
        <v>28878</v>
      </c>
      <c r="Q285" s="6">
        <v>0</v>
      </c>
      <c r="R285" s="6">
        <v>19345</v>
      </c>
      <c r="S285" s="6">
        <v>21389</v>
      </c>
      <c r="T285" s="6">
        <v>303586</v>
      </c>
      <c r="U285" s="6">
        <v>200935</v>
      </c>
      <c r="V285" s="6">
        <v>102651</v>
      </c>
    </row>
    <row r="286" spans="1:22" x14ac:dyDescent="0.25">
      <c r="A286">
        <v>2025</v>
      </c>
      <c r="B286" s="1" t="s">
        <v>15</v>
      </c>
      <c r="C286" t="s">
        <v>51</v>
      </c>
      <c r="D286" s="1" t="s">
        <v>690</v>
      </c>
      <c r="E286" t="s">
        <v>365</v>
      </c>
      <c r="F286" s="6">
        <v>378083</v>
      </c>
      <c r="G286" s="6">
        <v>295377</v>
      </c>
      <c r="H286" s="6">
        <v>64389</v>
      </c>
      <c r="I286" s="6">
        <v>230988</v>
      </c>
      <c r="J286" s="6">
        <v>82706</v>
      </c>
      <c r="K286" s="6">
        <v>11787</v>
      </c>
      <c r="L286" s="6">
        <v>325481</v>
      </c>
      <c r="M286">
        <v>365</v>
      </c>
      <c r="N286">
        <v>102</v>
      </c>
      <c r="O286">
        <v>467</v>
      </c>
      <c r="P286" s="6">
        <v>46990</v>
      </c>
      <c r="Q286" s="6">
        <v>0</v>
      </c>
      <c r="R286" s="6">
        <v>24968</v>
      </c>
      <c r="S286" s="6">
        <v>27834</v>
      </c>
      <c r="T286" s="6">
        <v>425740</v>
      </c>
      <c r="U286" s="6">
        <v>278343</v>
      </c>
      <c r="V286" s="6">
        <v>147397</v>
      </c>
    </row>
    <row r="287" spans="1:22" x14ac:dyDescent="0.25">
      <c r="A287">
        <v>2025</v>
      </c>
      <c r="B287" s="1" t="s">
        <v>18</v>
      </c>
      <c r="C287" t="s">
        <v>54</v>
      </c>
      <c r="D287" s="1" t="s">
        <v>691</v>
      </c>
      <c r="E287" t="s">
        <v>366</v>
      </c>
      <c r="F287" s="6">
        <v>133143</v>
      </c>
      <c r="G287" s="6">
        <v>107560</v>
      </c>
      <c r="H287" s="6">
        <v>23447</v>
      </c>
      <c r="I287" s="6">
        <v>84113</v>
      </c>
      <c r="J287" s="6">
        <v>25583</v>
      </c>
      <c r="K287" s="6">
        <v>5105</v>
      </c>
      <c r="L287" s="6">
        <v>114801</v>
      </c>
      <c r="M287">
        <v>0</v>
      </c>
      <c r="N287">
        <v>0</v>
      </c>
      <c r="O287">
        <v>0</v>
      </c>
      <c r="P287" s="6">
        <v>11772</v>
      </c>
      <c r="Q287" s="6">
        <v>0</v>
      </c>
      <c r="R287" s="6">
        <v>9437</v>
      </c>
      <c r="S287" s="6">
        <v>10369</v>
      </c>
      <c r="T287" s="6">
        <v>146379</v>
      </c>
      <c r="U287" s="6">
        <v>95885</v>
      </c>
      <c r="V287" s="6">
        <v>50494</v>
      </c>
    </row>
    <row r="288" spans="1:22" x14ac:dyDescent="0.25">
      <c r="A288">
        <v>2025</v>
      </c>
      <c r="B288" s="1" t="s">
        <v>18</v>
      </c>
      <c r="C288" t="s">
        <v>54</v>
      </c>
      <c r="D288" s="1" t="s">
        <v>692</v>
      </c>
      <c r="E288" t="s">
        <v>367</v>
      </c>
      <c r="F288" s="6">
        <v>1306015</v>
      </c>
      <c r="G288" s="6">
        <v>1055066</v>
      </c>
      <c r="H288" s="6">
        <v>229993</v>
      </c>
      <c r="I288" s="6">
        <v>825073</v>
      </c>
      <c r="J288" s="6">
        <v>250949</v>
      </c>
      <c r="K288">
        <v>0</v>
      </c>
      <c r="L288" s="6">
        <v>1076022</v>
      </c>
      <c r="M288">
        <v>0</v>
      </c>
      <c r="N288">
        <v>0</v>
      </c>
      <c r="O288">
        <v>0</v>
      </c>
      <c r="P288" s="6">
        <v>111798</v>
      </c>
      <c r="Q288" s="6">
        <v>0</v>
      </c>
      <c r="R288" s="6">
        <v>100778</v>
      </c>
      <c r="S288" s="6">
        <v>110730</v>
      </c>
      <c r="T288" s="6">
        <v>1399328</v>
      </c>
      <c r="U288" s="6">
        <v>936871</v>
      </c>
      <c r="V288" s="6">
        <v>462457</v>
      </c>
    </row>
    <row r="289" spans="1:22" x14ac:dyDescent="0.25">
      <c r="A289">
        <v>2025</v>
      </c>
      <c r="B289" s="1" t="s">
        <v>21</v>
      </c>
      <c r="C289" t="s">
        <v>57</v>
      </c>
      <c r="D289" s="1" t="s">
        <v>693</v>
      </c>
      <c r="E289" t="s">
        <v>368</v>
      </c>
      <c r="F289" s="6">
        <v>370683</v>
      </c>
      <c r="G289" s="6">
        <v>294678</v>
      </c>
      <c r="H289" s="6">
        <v>64237</v>
      </c>
      <c r="I289" s="6">
        <v>230441</v>
      </c>
      <c r="J289" s="6">
        <v>76005</v>
      </c>
      <c r="K289">
        <v>0</v>
      </c>
      <c r="L289" s="6">
        <v>306446</v>
      </c>
      <c r="M289">
        <v>683</v>
      </c>
      <c r="N289">
        <v>176</v>
      </c>
      <c r="O289">
        <v>859</v>
      </c>
      <c r="P289" s="6">
        <v>37282</v>
      </c>
      <c r="Q289" s="6">
        <v>0</v>
      </c>
      <c r="R289" s="6">
        <v>24559</v>
      </c>
      <c r="S289" s="6">
        <v>27000</v>
      </c>
      <c r="T289" s="6">
        <v>396146</v>
      </c>
      <c r="U289" s="6">
        <v>268406</v>
      </c>
      <c r="V289" s="6">
        <v>127740</v>
      </c>
    </row>
    <row r="290" spans="1:22" x14ac:dyDescent="0.25">
      <c r="A290">
        <v>2025</v>
      </c>
      <c r="B290" s="1" t="s">
        <v>18</v>
      </c>
      <c r="C290" t="s">
        <v>54</v>
      </c>
      <c r="D290" s="1" t="s">
        <v>694</v>
      </c>
      <c r="E290" t="s">
        <v>369</v>
      </c>
      <c r="F290" s="6">
        <v>331312</v>
      </c>
      <c r="G290" s="6">
        <v>267651</v>
      </c>
      <c r="H290" s="6">
        <v>58345</v>
      </c>
      <c r="I290" s="6">
        <v>209306</v>
      </c>
      <c r="J290" s="6">
        <v>63661</v>
      </c>
      <c r="K290">
        <v>0</v>
      </c>
      <c r="L290" s="6">
        <v>272967</v>
      </c>
      <c r="M290">
        <v>0</v>
      </c>
      <c r="N290">
        <v>0</v>
      </c>
      <c r="O290">
        <v>0</v>
      </c>
      <c r="P290" s="6">
        <v>28361</v>
      </c>
      <c r="Q290" s="6">
        <v>0</v>
      </c>
      <c r="R290" s="6">
        <v>24724</v>
      </c>
      <c r="S290" s="6">
        <v>27166</v>
      </c>
      <c r="T290" s="6">
        <v>353218</v>
      </c>
      <c r="U290" s="6">
        <v>237667</v>
      </c>
      <c r="V290" s="6">
        <v>115551</v>
      </c>
    </row>
    <row r="291" spans="1:22" x14ac:dyDescent="0.25">
      <c r="A291">
        <v>2025</v>
      </c>
      <c r="B291" s="1" t="s">
        <v>20</v>
      </c>
      <c r="C291" t="s">
        <v>56</v>
      </c>
      <c r="D291" s="1" t="s">
        <v>695</v>
      </c>
      <c r="E291" t="s">
        <v>370</v>
      </c>
      <c r="F291" s="6">
        <v>110926</v>
      </c>
      <c r="G291" s="6">
        <v>87502</v>
      </c>
      <c r="H291" s="6">
        <v>19075</v>
      </c>
      <c r="I291" s="6">
        <v>68427</v>
      </c>
      <c r="J291" s="6">
        <v>23424</v>
      </c>
      <c r="K291" s="6">
        <v>6177</v>
      </c>
      <c r="L291" s="6">
        <v>98028</v>
      </c>
      <c r="M291">
        <v>181</v>
      </c>
      <c r="N291">
        <v>48</v>
      </c>
      <c r="O291">
        <v>229</v>
      </c>
      <c r="P291" s="6">
        <v>12024</v>
      </c>
      <c r="Q291" s="6">
        <v>0</v>
      </c>
      <c r="R291" s="6">
        <v>7188</v>
      </c>
      <c r="S291" s="6">
        <v>7947</v>
      </c>
      <c r="T291" s="6">
        <v>125416</v>
      </c>
      <c r="U291" s="6">
        <v>80632</v>
      </c>
      <c r="V291" s="6">
        <v>44784</v>
      </c>
    </row>
    <row r="292" spans="1:22" x14ac:dyDescent="0.25">
      <c r="A292">
        <v>2025</v>
      </c>
      <c r="B292" s="1" t="s">
        <v>17</v>
      </c>
      <c r="C292" t="s">
        <v>53</v>
      </c>
      <c r="D292" s="1" t="s">
        <v>696</v>
      </c>
      <c r="E292" t="s">
        <v>371</v>
      </c>
      <c r="F292" s="6">
        <v>619124</v>
      </c>
      <c r="G292" s="6">
        <v>489756</v>
      </c>
      <c r="H292" s="6">
        <v>106762</v>
      </c>
      <c r="I292" s="6">
        <v>382994</v>
      </c>
      <c r="J292" s="6">
        <v>129368</v>
      </c>
      <c r="K292">
        <v>0</v>
      </c>
      <c r="L292" s="6">
        <v>512362</v>
      </c>
      <c r="M292">
        <v>554</v>
      </c>
      <c r="N292">
        <v>146</v>
      </c>
      <c r="O292">
        <v>700</v>
      </c>
      <c r="P292" s="6">
        <v>58734</v>
      </c>
      <c r="Q292" s="6">
        <v>0</v>
      </c>
      <c r="R292" s="6">
        <v>41412</v>
      </c>
      <c r="S292" s="6">
        <v>45532</v>
      </c>
      <c r="T292" s="6">
        <v>658740</v>
      </c>
      <c r="U292" s="6">
        <v>442281</v>
      </c>
      <c r="V292" s="6">
        <v>216459</v>
      </c>
    </row>
    <row r="293" spans="1:22" x14ac:dyDescent="0.25">
      <c r="A293">
        <v>2025</v>
      </c>
      <c r="B293" s="1" t="s">
        <v>21</v>
      </c>
      <c r="C293" t="s">
        <v>57</v>
      </c>
      <c r="D293" s="1" t="s">
        <v>697</v>
      </c>
      <c r="E293" t="s">
        <v>372</v>
      </c>
      <c r="F293" s="6">
        <v>179350</v>
      </c>
      <c r="G293" s="6">
        <v>142576</v>
      </c>
      <c r="H293" s="6">
        <v>31080</v>
      </c>
      <c r="I293" s="6">
        <v>111496</v>
      </c>
      <c r="J293" s="6">
        <v>36774</v>
      </c>
      <c r="K293" s="6">
        <v>6715</v>
      </c>
      <c r="L293" s="6">
        <v>154985</v>
      </c>
      <c r="M293">
        <v>329</v>
      </c>
      <c r="N293">
        <v>85</v>
      </c>
      <c r="O293">
        <v>414</v>
      </c>
      <c r="P293" s="6">
        <v>18702</v>
      </c>
      <c r="Q293" s="6">
        <v>0</v>
      </c>
      <c r="R293" s="6">
        <v>11770</v>
      </c>
      <c r="S293" s="6">
        <v>12940</v>
      </c>
      <c r="T293" s="6">
        <v>198811</v>
      </c>
      <c r="U293" s="6">
        <v>130528</v>
      </c>
      <c r="V293" s="6">
        <v>68283</v>
      </c>
    </row>
    <row r="294" spans="1:22" x14ac:dyDescent="0.25">
      <c r="A294">
        <v>2025</v>
      </c>
      <c r="B294" s="1" t="s">
        <v>21</v>
      </c>
      <c r="C294" t="s">
        <v>57</v>
      </c>
      <c r="D294" s="1" t="s">
        <v>698</v>
      </c>
      <c r="E294" t="s">
        <v>373</v>
      </c>
      <c r="F294" s="6">
        <v>196692</v>
      </c>
      <c r="G294" s="6">
        <v>156362</v>
      </c>
      <c r="H294" s="6">
        <v>34086</v>
      </c>
      <c r="I294" s="6">
        <v>122276</v>
      </c>
      <c r="J294" s="6">
        <v>40330</v>
      </c>
      <c r="K294" s="6">
        <v>32314</v>
      </c>
      <c r="L294" s="6">
        <v>194920</v>
      </c>
      <c r="M294">
        <v>362</v>
      </c>
      <c r="N294">
        <v>93</v>
      </c>
      <c r="O294">
        <v>455</v>
      </c>
      <c r="P294" s="6">
        <v>20264</v>
      </c>
      <c r="Q294" s="6">
        <v>0</v>
      </c>
      <c r="R294" s="6">
        <v>12942</v>
      </c>
      <c r="S294" s="6">
        <v>14228</v>
      </c>
      <c r="T294" s="6">
        <v>242809</v>
      </c>
      <c r="U294" s="6">
        <v>142902</v>
      </c>
      <c r="V294" s="6">
        <v>99907</v>
      </c>
    </row>
    <row r="295" spans="1:22" x14ac:dyDescent="0.25">
      <c r="A295">
        <v>2025</v>
      </c>
      <c r="B295" s="1" t="s">
        <v>15</v>
      </c>
      <c r="C295" t="s">
        <v>51</v>
      </c>
      <c r="D295" s="1" t="s">
        <v>699</v>
      </c>
      <c r="E295" t="s">
        <v>374</v>
      </c>
      <c r="F295" s="6">
        <v>249129</v>
      </c>
      <c r="G295" s="6">
        <v>194632</v>
      </c>
      <c r="H295" s="6">
        <v>42428</v>
      </c>
      <c r="I295" s="6">
        <v>152204</v>
      </c>
      <c r="J295" s="6">
        <v>54497</v>
      </c>
      <c r="K295">
        <v>875</v>
      </c>
      <c r="L295" s="6">
        <v>207576</v>
      </c>
      <c r="M295">
        <v>240</v>
      </c>
      <c r="N295">
        <v>68</v>
      </c>
      <c r="O295">
        <v>308</v>
      </c>
      <c r="P295" s="6">
        <v>30911</v>
      </c>
      <c r="Q295" s="6">
        <v>0</v>
      </c>
      <c r="R295" s="6">
        <v>17106</v>
      </c>
      <c r="S295" s="6">
        <v>19070</v>
      </c>
      <c r="T295" s="6">
        <v>274971</v>
      </c>
      <c r="U295" s="6">
        <v>183356</v>
      </c>
      <c r="V295" s="6">
        <v>91615</v>
      </c>
    </row>
    <row r="296" spans="1:22" x14ac:dyDescent="0.25">
      <c r="A296">
        <v>2025</v>
      </c>
      <c r="B296" s="1" t="s">
        <v>17</v>
      </c>
      <c r="C296" t="s">
        <v>53</v>
      </c>
      <c r="D296" s="1" t="s">
        <v>700</v>
      </c>
      <c r="E296" t="s">
        <v>375</v>
      </c>
      <c r="F296" s="6">
        <v>640968</v>
      </c>
      <c r="G296" s="6">
        <v>507036</v>
      </c>
      <c r="H296" s="6">
        <v>110529</v>
      </c>
      <c r="I296" s="6">
        <v>396507</v>
      </c>
      <c r="J296" s="6">
        <v>133932</v>
      </c>
      <c r="K296">
        <v>0</v>
      </c>
      <c r="L296" s="6">
        <v>530439</v>
      </c>
      <c r="M296">
        <v>575</v>
      </c>
      <c r="N296">
        <v>152</v>
      </c>
      <c r="O296">
        <v>727</v>
      </c>
      <c r="P296" s="6">
        <v>60807</v>
      </c>
      <c r="Q296" s="6">
        <v>0</v>
      </c>
      <c r="R296" s="6">
        <v>44087</v>
      </c>
      <c r="S296" s="6">
        <v>48475</v>
      </c>
      <c r="T296" s="6">
        <v>684535</v>
      </c>
      <c r="U296" s="6">
        <v>457889</v>
      </c>
      <c r="V296" s="6">
        <v>226646</v>
      </c>
    </row>
    <row r="297" spans="1:22" x14ac:dyDescent="0.25">
      <c r="A297">
        <v>2025</v>
      </c>
      <c r="B297" s="1" t="s">
        <v>15</v>
      </c>
      <c r="C297" t="s">
        <v>51</v>
      </c>
      <c r="D297" s="1" t="s">
        <v>701</v>
      </c>
      <c r="E297" t="s">
        <v>376</v>
      </c>
      <c r="F297" s="6">
        <v>4503597</v>
      </c>
      <c r="G297" s="6">
        <v>3518435</v>
      </c>
      <c r="H297" s="6">
        <v>766983</v>
      </c>
      <c r="I297" s="6">
        <v>2751452</v>
      </c>
      <c r="J297" s="6">
        <v>985162</v>
      </c>
      <c r="K297">
        <v>0</v>
      </c>
      <c r="L297" s="6">
        <v>3736614</v>
      </c>
      <c r="M297" s="6">
        <v>4347</v>
      </c>
      <c r="N297" s="6">
        <v>1217</v>
      </c>
      <c r="O297" s="6">
        <v>5564</v>
      </c>
      <c r="P297" s="6">
        <v>554610</v>
      </c>
      <c r="Q297" s="6">
        <v>0</v>
      </c>
      <c r="R297" s="6">
        <v>305580</v>
      </c>
      <c r="S297" s="6">
        <v>340663</v>
      </c>
      <c r="T297" s="6">
        <v>4943031</v>
      </c>
      <c r="U297" s="6">
        <v>3310409</v>
      </c>
      <c r="V297" s="6">
        <v>1632622</v>
      </c>
    </row>
    <row r="298" spans="1:22" x14ac:dyDescent="0.25">
      <c r="A298">
        <v>2025</v>
      </c>
      <c r="B298" s="1" t="s">
        <v>18</v>
      </c>
      <c r="C298" t="s">
        <v>54</v>
      </c>
      <c r="D298" s="1" t="s">
        <v>702</v>
      </c>
      <c r="E298" t="s">
        <v>377</v>
      </c>
      <c r="F298" s="6">
        <v>5081738</v>
      </c>
      <c r="G298" s="6">
        <v>4105288</v>
      </c>
      <c r="H298" s="6">
        <v>894911</v>
      </c>
      <c r="I298" s="6">
        <v>3210377</v>
      </c>
      <c r="J298" s="6">
        <v>976450</v>
      </c>
      <c r="K298">
        <v>0</v>
      </c>
      <c r="L298" s="6">
        <v>4186827</v>
      </c>
      <c r="M298">
        <v>0</v>
      </c>
      <c r="N298">
        <v>0</v>
      </c>
      <c r="O298">
        <v>0</v>
      </c>
      <c r="P298" s="6">
        <v>435008</v>
      </c>
      <c r="Q298" s="6">
        <v>0</v>
      </c>
      <c r="R298" s="6">
        <v>381082</v>
      </c>
      <c r="S298" s="6">
        <v>418717</v>
      </c>
      <c r="T298" s="6">
        <v>5421634</v>
      </c>
      <c r="U298" s="6">
        <v>3645385</v>
      </c>
      <c r="V298" s="6">
        <v>1776249</v>
      </c>
    </row>
    <row r="299" spans="1:22" x14ac:dyDescent="0.25">
      <c r="A299">
        <v>2025</v>
      </c>
      <c r="B299" s="1" t="s">
        <v>15</v>
      </c>
      <c r="C299" t="s">
        <v>51</v>
      </c>
      <c r="D299" s="1" t="s">
        <v>703</v>
      </c>
      <c r="E299" t="s">
        <v>378</v>
      </c>
      <c r="F299" s="6">
        <v>853397</v>
      </c>
      <c r="G299" s="6">
        <v>666716</v>
      </c>
      <c r="H299" s="6">
        <v>145337</v>
      </c>
      <c r="I299" s="6">
        <v>521379</v>
      </c>
      <c r="J299" s="6">
        <v>186681</v>
      </c>
      <c r="K299">
        <v>0</v>
      </c>
      <c r="L299" s="6">
        <v>708060</v>
      </c>
      <c r="M299">
        <v>824</v>
      </c>
      <c r="N299">
        <v>230</v>
      </c>
      <c r="O299" s="6">
        <v>1054</v>
      </c>
      <c r="P299" s="6">
        <v>105094</v>
      </c>
      <c r="Q299" s="6">
        <v>0</v>
      </c>
      <c r="R299" s="6">
        <v>59487</v>
      </c>
      <c r="S299" s="6">
        <v>66317</v>
      </c>
      <c r="T299" s="6">
        <v>940012</v>
      </c>
      <c r="U299" s="6">
        <v>627297</v>
      </c>
      <c r="V299" s="6">
        <v>312715</v>
      </c>
    </row>
    <row r="300" spans="1:22" x14ac:dyDescent="0.25">
      <c r="A300">
        <v>2025</v>
      </c>
      <c r="B300" s="1" t="s">
        <v>21</v>
      </c>
      <c r="C300" t="s">
        <v>57</v>
      </c>
      <c r="D300" s="1" t="s">
        <v>704</v>
      </c>
      <c r="E300" t="s">
        <v>379</v>
      </c>
      <c r="F300" s="6">
        <v>225776</v>
      </c>
      <c r="G300" s="6">
        <v>179483</v>
      </c>
      <c r="H300" s="6">
        <v>39126</v>
      </c>
      <c r="I300" s="6">
        <v>140357</v>
      </c>
      <c r="J300" s="6">
        <v>46293</v>
      </c>
      <c r="K300">
        <v>0</v>
      </c>
      <c r="L300" s="6">
        <v>186650</v>
      </c>
      <c r="M300">
        <v>416</v>
      </c>
      <c r="N300">
        <v>107</v>
      </c>
      <c r="O300">
        <v>523</v>
      </c>
      <c r="P300" s="6">
        <v>22708</v>
      </c>
      <c r="Q300" s="6">
        <v>0</v>
      </c>
      <c r="R300" s="6">
        <v>14547</v>
      </c>
      <c r="S300" s="6">
        <v>15992</v>
      </c>
      <c r="T300" s="6">
        <v>240420</v>
      </c>
      <c r="U300" s="6">
        <v>163480</v>
      </c>
      <c r="V300" s="6">
        <v>76940</v>
      </c>
    </row>
    <row r="301" spans="1:22" x14ac:dyDescent="0.25">
      <c r="A301">
        <v>2025</v>
      </c>
      <c r="B301" s="1" t="s">
        <v>14</v>
      </c>
      <c r="C301" t="s">
        <v>50</v>
      </c>
      <c r="D301" s="1" t="s">
        <v>705</v>
      </c>
      <c r="E301" t="s">
        <v>380</v>
      </c>
      <c r="F301" s="6">
        <v>684344</v>
      </c>
      <c r="G301" s="6">
        <v>524580</v>
      </c>
      <c r="H301" s="6">
        <v>114353</v>
      </c>
      <c r="I301" s="6">
        <v>410227</v>
      </c>
      <c r="J301" s="6">
        <v>159764</v>
      </c>
      <c r="K301">
        <v>0</v>
      </c>
      <c r="L301" s="6">
        <v>569991</v>
      </c>
      <c r="M301">
        <v>0</v>
      </c>
      <c r="N301">
        <v>0</v>
      </c>
      <c r="O301">
        <v>0</v>
      </c>
      <c r="P301" s="6">
        <v>72450</v>
      </c>
      <c r="Q301" s="6">
        <v>0</v>
      </c>
      <c r="R301" s="6">
        <v>47207</v>
      </c>
      <c r="S301" s="6">
        <v>52866</v>
      </c>
      <c r="T301" s="6">
        <v>742514</v>
      </c>
      <c r="U301" s="6">
        <v>482677</v>
      </c>
      <c r="V301" s="6">
        <v>259837</v>
      </c>
    </row>
    <row r="302" spans="1:22" x14ac:dyDescent="0.25">
      <c r="A302">
        <v>2025</v>
      </c>
      <c r="B302" s="1" t="s">
        <v>14</v>
      </c>
      <c r="C302" t="s">
        <v>50</v>
      </c>
      <c r="D302" s="1" t="s">
        <v>706</v>
      </c>
      <c r="E302" t="s">
        <v>381</v>
      </c>
      <c r="F302" s="6">
        <v>129388</v>
      </c>
      <c r="G302" s="6">
        <v>99182</v>
      </c>
      <c r="H302" s="6">
        <v>21621</v>
      </c>
      <c r="I302" s="6">
        <v>77561</v>
      </c>
      <c r="J302" s="6">
        <v>30206</v>
      </c>
      <c r="K302">
        <v>0</v>
      </c>
      <c r="L302" s="6">
        <v>107767</v>
      </c>
      <c r="M302">
        <v>0</v>
      </c>
      <c r="N302">
        <v>0</v>
      </c>
      <c r="O302">
        <v>0</v>
      </c>
      <c r="P302" s="6">
        <v>13698</v>
      </c>
      <c r="Q302" s="6">
        <v>0</v>
      </c>
      <c r="R302" s="6">
        <v>9457</v>
      </c>
      <c r="S302" s="6">
        <v>10590</v>
      </c>
      <c r="T302" s="6">
        <v>141512</v>
      </c>
      <c r="U302" s="6">
        <v>91259</v>
      </c>
      <c r="V302" s="6">
        <v>50253</v>
      </c>
    </row>
    <row r="303" spans="1:22" x14ac:dyDescent="0.25">
      <c r="A303">
        <v>2025</v>
      </c>
      <c r="B303" s="1" t="s">
        <v>17</v>
      </c>
      <c r="C303" t="s">
        <v>53</v>
      </c>
      <c r="D303" s="1" t="s">
        <v>707</v>
      </c>
      <c r="E303" t="s">
        <v>382</v>
      </c>
      <c r="F303" s="6">
        <v>299467</v>
      </c>
      <c r="G303" s="6">
        <v>236893</v>
      </c>
      <c r="H303" s="6">
        <v>51640</v>
      </c>
      <c r="I303" s="6">
        <v>185253</v>
      </c>
      <c r="J303" s="6">
        <v>62574</v>
      </c>
      <c r="K303">
        <v>0</v>
      </c>
      <c r="L303" s="6">
        <v>247827</v>
      </c>
      <c r="M303">
        <v>267</v>
      </c>
      <c r="N303">
        <v>71</v>
      </c>
      <c r="O303">
        <v>338</v>
      </c>
      <c r="P303" s="6">
        <v>28410</v>
      </c>
      <c r="Q303" s="6">
        <v>0</v>
      </c>
      <c r="R303" s="6">
        <v>20285</v>
      </c>
      <c r="S303" s="6">
        <v>22304</v>
      </c>
      <c r="T303" s="6">
        <v>319164</v>
      </c>
      <c r="U303" s="6">
        <v>213930</v>
      </c>
      <c r="V303" s="6">
        <v>105234</v>
      </c>
    </row>
    <row r="304" spans="1:22" x14ac:dyDescent="0.25">
      <c r="A304">
        <v>2025</v>
      </c>
      <c r="B304" s="1" t="s">
        <v>21</v>
      </c>
      <c r="C304" t="s">
        <v>57</v>
      </c>
      <c r="D304" s="1" t="s">
        <v>708</v>
      </c>
      <c r="E304" t="s">
        <v>383</v>
      </c>
      <c r="F304" s="6">
        <v>147495</v>
      </c>
      <c r="G304" s="6">
        <v>117253</v>
      </c>
      <c r="H304" s="6">
        <v>25560</v>
      </c>
      <c r="I304" s="6">
        <v>91693</v>
      </c>
      <c r="J304" s="6">
        <v>30242</v>
      </c>
      <c r="K304" s="6">
        <v>11381</v>
      </c>
      <c r="L304" s="6">
        <v>133316</v>
      </c>
      <c r="M304">
        <v>270</v>
      </c>
      <c r="N304">
        <v>70</v>
      </c>
      <c r="O304">
        <v>340</v>
      </c>
      <c r="P304" s="6">
        <v>14954</v>
      </c>
      <c r="Q304" s="6">
        <v>0</v>
      </c>
      <c r="R304" s="6">
        <v>10572</v>
      </c>
      <c r="S304" s="6">
        <v>11623</v>
      </c>
      <c r="T304" s="6">
        <v>170805</v>
      </c>
      <c r="U304" s="6">
        <v>106917</v>
      </c>
      <c r="V304" s="6">
        <v>63888</v>
      </c>
    </row>
    <row r="305" spans="1:22" x14ac:dyDescent="0.25">
      <c r="A305">
        <v>2025</v>
      </c>
      <c r="B305" s="1" t="s">
        <v>13</v>
      </c>
      <c r="C305" t="s">
        <v>49</v>
      </c>
      <c r="D305" s="1" t="s">
        <v>709</v>
      </c>
      <c r="E305" t="s">
        <v>384</v>
      </c>
      <c r="F305" s="6">
        <v>104755</v>
      </c>
      <c r="G305" s="6">
        <v>79342</v>
      </c>
      <c r="H305" s="6">
        <v>17296</v>
      </c>
      <c r="I305" s="6">
        <v>62046</v>
      </c>
      <c r="J305" s="6">
        <v>25413</v>
      </c>
      <c r="K305">
        <v>230</v>
      </c>
      <c r="L305" s="6">
        <v>87689</v>
      </c>
      <c r="M305">
        <v>208</v>
      </c>
      <c r="N305">
        <v>66</v>
      </c>
      <c r="O305">
        <v>274</v>
      </c>
      <c r="P305" s="6">
        <v>10395</v>
      </c>
      <c r="Q305" s="6">
        <v>0</v>
      </c>
      <c r="R305" s="6">
        <v>6501</v>
      </c>
      <c r="S305" s="6">
        <v>7242</v>
      </c>
      <c r="T305" s="6">
        <v>112101</v>
      </c>
      <c r="U305" s="6">
        <v>72649</v>
      </c>
      <c r="V305" s="6">
        <v>39452</v>
      </c>
    </row>
    <row r="306" spans="1:22" x14ac:dyDescent="0.25">
      <c r="A306">
        <v>2025</v>
      </c>
      <c r="B306" s="1" t="s">
        <v>18</v>
      </c>
      <c r="C306" t="s">
        <v>54</v>
      </c>
      <c r="D306" s="1" t="s">
        <v>710</v>
      </c>
      <c r="E306" t="s">
        <v>385</v>
      </c>
      <c r="F306" s="6">
        <v>358789</v>
      </c>
      <c r="G306" s="6">
        <v>289848</v>
      </c>
      <c r="H306" s="6">
        <v>63184</v>
      </c>
      <c r="I306" s="6">
        <v>226664</v>
      </c>
      <c r="J306" s="6">
        <v>68941</v>
      </c>
      <c r="K306">
        <v>0</v>
      </c>
      <c r="L306" s="6">
        <v>295605</v>
      </c>
      <c r="M306">
        <v>0</v>
      </c>
      <c r="N306">
        <v>0</v>
      </c>
      <c r="O306">
        <v>0</v>
      </c>
      <c r="P306" s="6">
        <v>30713</v>
      </c>
      <c r="Q306" s="6">
        <v>0</v>
      </c>
      <c r="R306" s="6">
        <v>23986</v>
      </c>
      <c r="S306" s="6">
        <v>26355</v>
      </c>
      <c r="T306" s="6">
        <v>376659</v>
      </c>
      <c r="U306" s="6">
        <v>257377</v>
      </c>
      <c r="V306" s="6">
        <v>119282</v>
      </c>
    </row>
    <row r="307" spans="1:22" x14ac:dyDescent="0.25">
      <c r="A307">
        <v>2025</v>
      </c>
      <c r="B307" s="1" t="s">
        <v>13</v>
      </c>
      <c r="C307" t="s">
        <v>49</v>
      </c>
      <c r="D307" s="1" t="s">
        <v>711</v>
      </c>
      <c r="E307" t="s">
        <v>386</v>
      </c>
      <c r="F307" s="6">
        <v>539786</v>
      </c>
      <c r="G307" s="6">
        <v>408837</v>
      </c>
      <c r="H307" s="6">
        <v>89122</v>
      </c>
      <c r="I307" s="6">
        <v>319715</v>
      </c>
      <c r="J307" s="6">
        <v>130949</v>
      </c>
      <c r="K307">
        <v>0</v>
      </c>
      <c r="L307" s="6">
        <v>450664</v>
      </c>
      <c r="M307" s="6">
        <v>1069</v>
      </c>
      <c r="N307">
        <v>343</v>
      </c>
      <c r="O307" s="6">
        <v>1412</v>
      </c>
      <c r="P307" s="6">
        <v>53497</v>
      </c>
      <c r="Q307" s="6">
        <v>0</v>
      </c>
      <c r="R307" s="6">
        <v>39623</v>
      </c>
      <c r="S307" s="6">
        <v>44136</v>
      </c>
      <c r="T307" s="6">
        <v>589332</v>
      </c>
      <c r="U307" s="6">
        <v>374281</v>
      </c>
      <c r="V307" s="6">
        <v>215051</v>
      </c>
    </row>
    <row r="308" spans="1:22" x14ac:dyDescent="0.25">
      <c r="A308">
        <v>2025</v>
      </c>
      <c r="B308" s="1" t="s">
        <v>18</v>
      </c>
      <c r="C308" t="s">
        <v>54</v>
      </c>
      <c r="D308" s="1" t="s">
        <v>712</v>
      </c>
      <c r="E308" t="s">
        <v>387</v>
      </c>
      <c r="F308" s="6">
        <v>3257639</v>
      </c>
      <c r="G308" s="6">
        <v>2631687</v>
      </c>
      <c r="H308" s="6">
        <v>573681</v>
      </c>
      <c r="I308" s="6">
        <v>2058006</v>
      </c>
      <c r="J308" s="6">
        <v>625952</v>
      </c>
      <c r="K308">
        <v>0</v>
      </c>
      <c r="L308" s="6">
        <v>2683958</v>
      </c>
      <c r="M308">
        <v>0</v>
      </c>
      <c r="N308">
        <v>0</v>
      </c>
      <c r="O308">
        <v>0</v>
      </c>
      <c r="P308" s="6">
        <v>278861</v>
      </c>
      <c r="Q308" s="6">
        <v>0</v>
      </c>
      <c r="R308" s="6">
        <v>250443</v>
      </c>
      <c r="S308" s="6">
        <v>275176</v>
      </c>
      <c r="T308" s="6">
        <v>3488438</v>
      </c>
      <c r="U308" s="6">
        <v>2336867</v>
      </c>
      <c r="V308" s="6">
        <v>1151571</v>
      </c>
    </row>
    <row r="309" spans="1:22" x14ac:dyDescent="0.25">
      <c r="A309">
        <v>2025</v>
      </c>
      <c r="B309" s="1" t="s">
        <v>15</v>
      </c>
      <c r="C309" t="s">
        <v>51</v>
      </c>
      <c r="D309" s="1" t="s">
        <v>713</v>
      </c>
      <c r="E309" t="s">
        <v>388</v>
      </c>
      <c r="F309" s="6">
        <v>293159</v>
      </c>
      <c r="G309" s="6">
        <v>229030</v>
      </c>
      <c r="H309" s="6">
        <v>49926</v>
      </c>
      <c r="I309" s="6">
        <v>179104</v>
      </c>
      <c r="J309" s="6">
        <v>64129</v>
      </c>
      <c r="K309">
        <v>915</v>
      </c>
      <c r="L309" s="6">
        <v>244148</v>
      </c>
      <c r="M309">
        <v>284</v>
      </c>
      <c r="N309">
        <v>79</v>
      </c>
      <c r="O309">
        <v>363</v>
      </c>
      <c r="P309" s="6">
        <v>36360</v>
      </c>
      <c r="Q309" s="6">
        <v>0</v>
      </c>
      <c r="R309" s="6">
        <v>20717</v>
      </c>
      <c r="S309" s="6">
        <v>23095</v>
      </c>
      <c r="T309" s="6">
        <v>324683</v>
      </c>
      <c r="U309" s="6">
        <v>215748</v>
      </c>
      <c r="V309" s="6">
        <v>108935</v>
      </c>
    </row>
    <row r="310" spans="1:22" x14ac:dyDescent="0.25">
      <c r="A310">
        <v>2025</v>
      </c>
      <c r="B310" s="1" t="s">
        <v>15</v>
      </c>
      <c r="C310" t="s">
        <v>51</v>
      </c>
      <c r="D310" s="1" t="s">
        <v>714</v>
      </c>
      <c r="E310" t="s">
        <v>389</v>
      </c>
      <c r="F310" s="6">
        <v>217351</v>
      </c>
      <c r="G310" s="6">
        <v>169806</v>
      </c>
      <c r="H310" s="6">
        <v>37016</v>
      </c>
      <c r="I310" s="6">
        <v>132790</v>
      </c>
      <c r="J310" s="6">
        <v>47545</v>
      </c>
      <c r="K310">
        <v>0</v>
      </c>
      <c r="L310" s="6">
        <v>180335</v>
      </c>
      <c r="M310">
        <v>211</v>
      </c>
      <c r="N310">
        <v>59</v>
      </c>
      <c r="O310">
        <v>270</v>
      </c>
      <c r="P310" s="6">
        <v>26766</v>
      </c>
      <c r="Q310" s="6">
        <v>0</v>
      </c>
      <c r="R310" s="6">
        <v>15109</v>
      </c>
      <c r="S310" s="6">
        <v>16843</v>
      </c>
      <c r="T310" s="6">
        <v>239323</v>
      </c>
      <c r="U310" s="6">
        <v>159766</v>
      </c>
      <c r="V310" s="6">
        <v>79557</v>
      </c>
    </row>
    <row r="311" spans="1:22" x14ac:dyDescent="0.25">
      <c r="A311">
        <v>2025</v>
      </c>
      <c r="B311" s="1" t="s">
        <v>20</v>
      </c>
      <c r="C311" t="s">
        <v>56</v>
      </c>
      <c r="D311" s="1" t="s">
        <v>715</v>
      </c>
      <c r="E311" t="s">
        <v>390</v>
      </c>
      <c r="F311" s="6">
        <v>136375</v>
      </c>
      <c r="G311" s="6">
        <v>107576</v>
      </c>
      <c r="H311" s="6">
        <v>23451</v>
      </c>
      <c r="I311" s="6">
        <v>84125</v>
      </c>
      <c r="J311" s="6">
        <v>28799</v>
      </c>
      <c r="K311" s="6">
        <v>11585</v>
      </c>
      <c r="L311" s="6">
        <v>124509</v>
      </c>
      <c r="M311">
        <v>221</v>
      </c>
      <c r="N311">
        <v>60</v>
      </c>
      <c r="O311">
        <v>281</v>
      </c>
      <c r="P311" s="6">
        <v>14153</v>
      </c>
      <c r="Q311" s="6">
        <v>0</v>
      </c>
      <c r="R311" s="6">
        <v>8946</v>
      </c>
      <c r="S311" s="6">
        <v>9891</v>
      </c>
      <c r="T311" s="6">
        <v>157780</v>
      </c>
      <c r="U311" s="6">
        <v>98500</v>
      </c>
      <c r="V311" s="6">
        <v>59280</v>
      </c>
    </row>
    <row r="312" spans="1:22" x14ac:dyDescent="0.25">
      <c r="A312">
        <v>2025</v>
      </c>
      <c r="B312" s="1" t="s">
        <v>16</v>
      </c>
      <c r="C312" t="s">
        <v>52</v>
      </c>
      <c r="D312" s="1" t="s">
        <v>716</v>
      </c>
      <c r="E312" t="s">
        <v>391</v>
      </c>
      <c r="F312" s="6">
        <v>479678</v>
      </c>
      <c r="G312" s="6">
        <v>377325</v>
      </c>
      <c r="H312" s="6">
        <v>82253</v>
      </c>
      <c r="I312" s="6">
        <v>295072</v>
      </c>
      <c r="J312" s="6">
        <v>102353</v>
      </c>
      <c r="K312">
        <v>0</v>
      </c>
      <c r="L312" s="6">
        <v>397425</v>
      </c>
      <c r="M312">
        <v>648</v>
      </c>
      <c r="N312">
        <v>176</v>
      </c>
      <c r="O312">
        <v>824</v>
      </c>
      <c r="P312" s="6">
        <v>44203</v>
      </c>
      <c r="Q312" s="6">
        <v>0</v>
      </c>
      <c r="R312" s="6">
        <v>31816</v>
      </c>
      <c r="S312" s="6">
        <v>34780</v>
      </c>
      <c r="T312" s="6">
        <v>509048</v>
      </c>
      <c r="U312" s="6">
        <v>339923</v>
      </c>
      <c r="V312" s="6">
        <v>169125</v>
      </c>
    </row>
    <row r="313" spans="1:22" x14ac:dyDescent="0.25">
      <c r="A313">
        <v>2025</v>
      </c>
      <c r="B313" s="1" t="s">
        <v>19</v>
      </c>
      <c r="C313" t="s">
        <v>55</v>
      </c>
      <c r="D313" s="1" t="s">
        <v>717</v>
      </c>
      <c r="E313" t="s">
        <v>392</v>
      </c>
      <c r="F313" s="6">
        <v>359985</v>
      </c>
      <c r="G313" s="6">
        <v>278610</v>
      </c>
      <c r="H313" s="6">
        <v>60734</v>
      </c>
      <c r="I313" s="6">
        <v>217876</v>
      </c>
      <c r="J313" s="6">
        <v>81375</v>
      </c>
      <c r="K313">
        <v>0</v>
      </c>
      <c r="L313" s="6">
        <v>299251</v>
      </c>
      <c r="M313">
        <v>529</v>
      </c>
      <c r="N313">
        <v>155</v>
      </c>
      <c r="O313">
        <v>684</v>
      </c>
      <c r="P313" s="6">
        <v>36292</v>
      </c>
      <c r="Q313" s="6">
        <v>0</v>
      </c>
      <c r="R313" s="6">
        <v>28339</v>
      </c>
      <c r="S313" s="6">
        <v>31727</v>
      </c>
      <c r="T313" s="6">
        <v>396293</v>
      </c>
      <c r="U313" s="6">
        <v>254698</v>
      </c>
      <c r="V313" s="6">
        <v>141595</v>
      </c>
    </row>
    <row r="314" spans="1:22" x14ac:dyDescent="0.25">
      <c r="A314">
        <v>2025</v>
      </c>
      <c r="B314" s="1" t="s">
        <v>15</v>
      </c>
      <c r="C314" t="s">
        <v>51</v>
      </c>
      <c r="D314" s="1" t="s">
        <v>718</v>
      </c>
      <c r="E314" t="s">
        <v>393</v>
      </c>
      <c r="F314" s="6">
        <v>284826</v>
      </c>
      <c r="G314" s="6">
        <v>222521</v>
      </c>
      <c r="H314" s="6">
        <v>48507</v>
      </c>
      <c r="I314" s="6">
        <v>174014</v>
      </c>
      <c r="J314" s="6">
        <v>62305</v>
      </c>
      <c r="K314" s="6">
        <v>9937</v>
      </c>
      <c r="L314" s="6">
        <v>246256</v>
      </c>
      <c r="M314">
        <v>275</v>
      </c>
      <c r="N314">
        <v>78</v>
      </c>
      <c r="O314">
        <v>353</v>
      </c>
      <c r="P314" s="6">
        <v>35916</v>
      </c>
      <c r="Q314" s="6">
        <v>0</v>
      </c>
      <c r="R314" s="6">
        <v>19564</v>
      </c>
      <c r="S314" s="6">
        <v>21811</v>
      </c>
      <c r="T314" s="6">
        <v>323900</v>
      </c>
      <c r="U314" s="6">
        <v>210205</v>
      </c>
      <c r="V314" s="6">
        <v>113695</v>
      </c>
    </row>
    <row r="315" spans="1:22" x14ac:dyDescent="0.25">
      <c r="A315">
        <v>2025</v>
      </c>
      <c r="B315" s="1" t="s">
        <v>19</v>
      </c>
      <c r="C315" t="s">
        <v>55</v>
      </c>
      <c r="D315" s="1" t="s">
        <v>719</v>
      </c>
      <c r="E315" t="s">
        <v>394</v>
      </c>
      <c r="F315" s="6">
        <v>236485</v>
      </c>
      <c r="G315" s="6">
        <v>183028</v>
      </c>
      <c r="H315" s="6">
        <v>39898</v>
      </c>
      <c r="I315" s="6">
        <v>143130</v>
      </c>
      <c r="J315" s="6">
        <v>53457</v>
      </c>
      <c r="K315" s="6">
        <v>5737</v>
      </c>
      <c r="L315" s="6">
        <v>202324</v>
      </c>
      <c r="M315">
        <v>348</v>
      </c>
      <c r="N315">
        <v>102</v>
      </c>
      <c r="O315">
        <v>450</v>
      </c>
      <c r="P315" s="6">
        <v>24406</v>
      </c>
      <c r="Q315" s="6">
        <v>0</v>
      </c>
      <c r="R315" s="6">
        <v>14925</v>
      </c>
      <c r="S315" s="6">
        <v>16709</v>
      </c>
      <c r="T315" s="6">
        <v>258814</v>
      </c>
      <c r="U315" s="6">
        <v>167884</v>
      </c>
      <c r="V315" s="6">
        <v>90930</v>
      </c>
    </row>
    <row r="316" spans="1:22" x14ac:dyDescent="0.25">
      <c r="A316">
        <v>2025</v>
      </c>
      <c r="B316" s="1" t="s">
        <v>19</v>
      </c>
      <c r="C316" t="s">
        <v>55</v>
      </c>
      <c r="D316" s="1" t="s">
        <v>720</v>
      </c>
      <c r="E316" t="s">
        <v>395</v>
      </c>
      <c r="F316" s="6">
        <v>297728</v>
      </c>
      <c r="G316" s="6">
        <v>230426</v>
      </c>
      <c r="H316" s="6">
        <v>50231</v>
      </c>
      <c r="I316" s="6">
        <v>180195</v>
      </c>
      <c r="J316" s="6">
        <v>67302</v>
      </c>
      <c r="K316" s="6">
        <v>17705</v>
      </c>
      <c r="L316" s="6">
        <v>265202</v>
      </c>
      <c r="M316">
        <v>437</v>
      </c>
      <c r="N316">
        <v>128</v>
      </c>
      <c r="O316">
        <v>565</v>
      </c>
      <c r="P316" s="6">
        <v>31492</v>
      </c>
      <c r="Q316" s="6">
        <v>0</v>
      </c>
      <c r="R316" s="6">
        <v>21530</v>
      </c>
      <c r="S316" s="6">
        <v>24103</v>
      </c>
      <c r="T316" s="6">
        <v>342892</v>
      </c>
      <c r="U316" s="6">
        <v>212125</v>
      </c>
      <c r="V316" s="6">
        <v>130767</v>
      </c>
    </row>
    <row r="317" spans="1:22" x14ac:dyDescent="0.25">
      <c r="A317">
        <v>2025</v>
      </c>
      <c r="B317" s="1" t="s">
        <v>13</v>
      </c>
      <c r="C317" t="s">
        <v>49</v>
      </c>
      <c r="D317" s="1" t="s">
        <v>721</v>
      </c>
      <c r="E317" t="s">
        <v>396</v>
      </c>
      <c r="F317" s="6">
        <v>1280369</v>
      </c>
      <c r="G317" s="6">
        <v>969759</v>
      </c>
      <c r="H317" s="6">
        <v>211397</v>
      </c>
      <c r="I317" s="6">
        <v>758362</v>
      </c>
      <c r="J317" s="6">
        <v>310610</v>
      </c>
      <c r="K317">
        <v>0</v>
      </c>
      <c r="L317" s="6">
        <v>1068972</v>
      </c>
      <c r="M317" s="6">
        <v>2535</v>
      </c>
      <c r="N317">
        <v>812</v>
      </c>
      <c r="O317" s="6">
        <v>3347</v>
      </c>
      <c r="P317" s="6">
        <v>126895</v>
      </c>
      <c r="Q317" s="6">
        <v>0</v>
      </c>
      <c r="R317" s="6">
        <v>107324</v>
      </c>
      <c r="S317" s="6">
        <v>119551</v>
      </c>
      <c r="T317" s="6">
        <v>1426089</v>
      </c>
      <c r="U317" s="6">
        <v>887792</v>
      </c>
      <c r="V317" s="6">
        <v>538297</v>
      </c>
    </row>
    <row r="318" spans="1:22" x14ac:dyDescent="0.25">
      <c r="A318">
        <v>2025</v>
      </c>
      <c r="B318" s="1" t="s">
        <v>19</v>
      </c>
      <c r="C318" t="s">
        <v>55</v>
      </c>
      <c r="D318" s="1" t="s">
        <v>722</v>
      </c>
      <c r="E318" t="s">
        <v>397</v>
      </c>
      <c r="F318" s="6">
        <v>216293</v>
      </c>
      <c r="G318" s="6">
        <v>167400</v>
      </c>
      <c r="H318" s="6">
        <v>36491</v>
      </c>
      <c r="I318" s="6">
        <v>130909</v>
      </c>
      <c r="J318" s="6">
        <v>48893</v>
      </c>
      <c r="K318">
        <v>0</v>
      </c>
      <c r="L318" s="6">
        <v>179802</v>
      </c>
      <c r="M318">
        <v>319</v>
      </c>
      <c r="N318">
        <v>93</v>
      </c>
      <c r="O318">
        <v>412</v>
      </c>
      <c r="P318" s="6">
        <v>21805</v>
      </c>
      <c r="Q318" s="6">
        <v>0</v>
      </c>
      <c r="R318" s="6">
        <v>13901</v>
      </c>
      <c r="S318" s="6">
        <v>15562</v>
      </c>
      <c r="T318" s="6">
        <v>231482</v>
      </c>
      <c r="U318" s="6">
        <v>153033</v>
      </c>
      <c r="V318" s="6">
        <v>78449</v>
      </c>
    </row>
    <row r="319" spans="1:22" x14ac:dyDescent="0.25">
      <c r="A319">
        <v>2025</v>
      </c>
      <c r="B319" s="1" t="s">
        <v>19</v>
      </c>
      <c r="C319" t="s">
        <v>55</v>
      </c>
      <c r="D319" s="1" t="s">
        <v>723</v>
      </c>
      <c r="E319" t="s">
        <v>398</v>
      </c>
      <c r="F319" s="6">
        <v>75385</v>
      </c>
      <c r="G319" s="6">
        <v>58344</v>
      </c>
      <c r="H319" s="6">
        <v>12718</v>
      </c>
      <c r="I319" s="6">
        <v>45626</v>
      </c>
      <c r="J319" s="6">
        <v>17041</v>
      </c>
      <c r="K319" s="6">
        <v>0</v>
      </c>
      <c r="L319" s="6">
        <v>62667</v>
      </c>
      <c r="M319">
        <v>111</v>
      </c>
      <c r="N319">
        <v>32</v>
      </c>
      <c r="O319">
        <v>143</v>
      </c>
      <c r="P319" s="6">
        <v>7600</v>
      </c>
      <c r="Q319">
        <v>0</v>
      </c>
      <c r="R319" s="6">
        <v>4941</v>
      </c>
      <c r="S319" s="6">
        <v>5531</v>
      </c>
      <c r="T319" s="6">
        <v>80882</v>
      </c>
      <c r="U319" s="6">
        <v>53337</v>
      </c>
      <c r="V319" s="6">
        <v>27545</v>
      </c>
    </row>
    <row r="320" spans="1:22" x14ac:dyDescent="0.25">
      <c r="A320">
        <v>2025</v>
      </c>
      <c r="B320" s="1" t="s">
        <v>17</v>
      </c>
      <c r="C320" t="s">
        <v>53</v>
      </c>
      <c r="D320" s="1" t="s">
        <v>724</v>
      </c>
      <c r="E320" t="s">
        <v>399</v>
      </c>
      <c r="F320" s="6">
        <v>429350</v>
      </c>
      <c r="G320" s="6">
        <v>339636</v>
      </c>
      <c r="H320" s="6">
        <v>74037</v>
      </c>
      <c r="I320" s="6">
        <v>265599</v>
      </c>
      <c r="J320" s="6">
        <v>89714</v>
      </c>
      <c r="K320">
        <v>0</v>
      </c>
      <c r="L320" s="6">
        <v>355313</v>
      </c>
      <c r="M320">
        <v>383</v>
      </c>
      <c r="N320">
        <v>102</v>
      </c>
      <c r="O320">
        <v>485</v>
      </c>
      <c r="P320" s="6">
        <v>40731</v>
      </c>
      <c r="Q320" s="6">
        <v>0</v>
      </c>
      <c r="R320" s="6">
        <v>31090</v>
      </c>
      <c r="S320" s="6">
        <v>34184</v>
      </c>
      <c r="T320" s="6">
        <v>461803</v>
      </c>
      <c r="U320" s="6">
        <v>306713</v>
      </c>
      <c r="V320" s="6">
        <v>155090</v>
      </c>
    </row>
    <row r="321" spans="1:22" x14ac:dyDescent="0.25">
      <c r="A321">
        <v>2025</v>
      </c>
      <c r="B321" s="1" t="s">
        <v>16</v>
      </c>
      <c r="C321" t="s">
        <v>52</v>
      </c>
      <c r="D321" s="1" t="s">
        <v>725</v>
      </c>
      <c r="E321" t="s">
        <v>400</v>
      </c>
      <c r="F321" s="6">
        <v>322282</v>
      </c>
      <c r="G321" s="6">
        <v>253514</v>
      </c>
      <c r="H321" s="6">
        <v>55263</v>
      </c>
      <c r="I321" s="6">
        <v>198251</v>
      </c>
      <c r="J321" s="6">
        <v>68768</v>
      </c>
      <c r="K321">
        <v>0</v>
      </c>
      <c r="L321" s="6">
        <v>267019</v>
      </c>
      <c r="M321">
        <v>435</v>
      </c>
      <c r="N321">
        <v>118</v>
      </c>
      <c r="O321">
        <v>553</v>
      </c>
      <c r="P321" s="6">
        <v>29699</v>
      </c>
      <c r="Q321" s="6">
        <v>0</v>
      </c>
      <c r="R321" s="6">
        <v>21651</v>
      </c>
      <c r="S321" s="6">
        <v>23668</v>
      </c>
      <c r="T321" s="6">
        <v>342590</v>
      </c>
      <c r="U321" s="6">
        <v>228385</v>
      </c>
      <c r="V321" s="6">
        <v>114205</v>
      </c>
    </row>
    <row r="322" spans="1:22" x14ac:dyDescent="0.25">
      <c r="A322">
        <v>2025</v>
      </c>
      <c r="B322" s="1" t="s">
        <v>21</v>
      </c>
      <c r="C322" t="s">
        <v>57</v>
      </c>
      <c r="D322" s="1" t="s">
        <v>726</v>
      </c>
      <c r="E322" t="s">
        <v>401</v>
      </c>
      <c r="F322" s="6">
        <v>121221</v>
      </c>
      <c r="G322" s="6">
        <v>96366</v>
      </c>
      <c r="H322" s="6">
        <v>21007</v>
      </c>
      <c r="I322" s="6">
        <v>75359</v>
      </c>
      <c r="J322" s="6">
        <v>24855</v>
      </c>
      <c r="K322" s="6">
        <v>0</v>
      </c>
      <c r="L322" s="6">
        <v>100214</v>
      </c>
      <c r="M322">
        <v>224</v>
      </c>
      <c r="N322">
        <v>58</v>
      </c>
      <c r="O322">
        <v>282</v>
      </c>
      <c r="P322" s="6">
        <v>12192</v>
      </c>
      <c r="Q322" s="6">
        <v>0</v>
      </c>
      <c r="R322" s="6">
        <v>8076</v>
      </c>
      <c r="S322" s="6">
        <v>8878</v>
      </c>
      <c r="T322" s="6">
        <v>129642</v>
      </c>
      <c r="U322" s="6">
        <v>87775</v>
      </c>
      <c r="V322" s="6">
        <v>41867</v>
      </c>
    </row>
    <row r="323" spans="1:22" x14ac:dyDescent="0.25">
      <c r="A323">
        <v>2025</v>
      </c>
      <c r="B323" s="1" t="s">
        <v>18</v>
      </c>
      <c r="C323" t="s">
        <v>54</v>
      </c>
      <c r="D323" s="1" t="s">
        <v>727</v>
      </c>
      <c r="E323" t="s">
        <v>402</v>
      </c>
      <c r="F323" s="6">
        <v>630202</v>
      </c>
      <c r="G323" s="6">
        <v>509109</v>
      </c>
      <c r="H323" s="6">
        <v>110981</v>
      </c>
      <c r="I323" s="6">
        <v>398128</v>
      </c>
      <c r="J323" s="6">
        <v>121093</v>
      </c>
      <c r="K323">
        <v>0</v>
      </c>
      <c r="L323" s="6">
        <v>519221</v>
      </c>
      <c r="M323">
        <v>0</v>
      </c>
      <c r="N323">
        <v>0</v>
      </c>
      <c r="O323">
        <v>0</v>
      </c>
      <c r="P323" s="6">
        <v>53947</v>
      </c>
      <c r="Q323" s="6">
        <v>0</v>
      </c>
      <c r="R323" s="6">
        <v>42732</v>
      </c>
      <c r="S323" s="6">
        <v>46953</v>
      </c>
      <c r="T323" s="6">
        <v>662853</v>
      </c>
      <c r="U323" s="6">
        <v>452075</v>
      </c>
      <c r="V323" s="6">
        <v>210778</v>
      </c>
    </row>
    <row r="324" spans="1:22" x14ac:dyDescent="0.25">
      <c r="A324">
        <v>2025</v>
      </c>
      <c r="B324" s="1" t="s">
        <v>20</v>
      </c>
      <c r="C324" t="s">
        <v>56</v>
      </c>
      <c r="D324" s="1" t="s">
        <v>728</v>
      </c>
      <c r="E324" t="s">
        <v>403</v>
      </c>
      <c r="F324" s="6">
        <v>195305</v>
      </c>
      <c r="G324" s="6">
        <v>154062</v>
      </c>
      <c r="H324" s="6">
        <v>33584</v>
      </c>
      <c r="I324" s="6">
        <v>120478</v>
      </c>
      <c r="J324" s="6">
        <v>41243</v>
      </c>
      <c r="K324">
        <v>0</v>
      </c>
      <c r="L324" s="6">
        <v>161721</v>
      </c>
      <c r="M324">
        <v>316</v>
      </c>
      <c r="N324">
        <v>84</v>
      </c>
      <c r="O324">
        <v>400</v>
      </c>
      <c r="P324" s="6">
        <v>20057</v>
      </c>
      <c r="Q324" s="6">
        <v>0</v>
      </c>
      <c r="R324" s="6">
        <v>12999</v>
      </c>
      <c r="S324" s="6">
        <v>14372</v>
      </c>
      <c r="T324" s="6">
        <v>209549</v>
      </c>
      <c r="U324" s="6">
        <v>140851</v>
      </c>
      <c r="V324" s="6">
        <v>68698</v>
      </c>
    </row>
    <row r="325" spans="1:22" x14ac:dyDescent="0.25">
      <c r="A325">
        <v>2025</v>
      </c>
      <c r="B325" s="1" t="s">
        <v>19</v>
      </c>
      <c r="C325" t="s">
        <v>55</v>
      </c>
      <c r="D325" s="1" t="s">
        <v>729</v>
      </c>
      <c r="E325" t="s">
        <v>404</v>
      </c>
      <c r="F325" s="6">
        <v>207596</v>
      </c>
      <c r="G325" s="6">
        <v>160669</v>
      </c>
      <c r="H325" s="6">
        <v>35025</v>
      </c>
      <c r="I325" s="6">
        <v>125644</v>
      </c>
      <c r="J325" s="6">
        <v>46927</v>
      </c>
      <c r="K325" s="6">
        <v>0</v>
      </c>
      <c r="L325" s="6">
        <v>172571</v>
      </c>
      <c r="M325">
        <v>305</v>
      </c>
      <c r="N325">
        <v>89</v>
      </c>
      <c r="O325">
        <v>394</v>
      </c>
      <c r="P325" s="6">
        <v>20929</v>
      </c>
      <c r="Q325" s="6">
        <v>0</v>
      </c>
      <c r="R325" s="6">
        <v>13158</v>
      </c>
      <c r="S325" s="6">
        <v>14731</v>
      </c>
      <c r="T325" s="6">
        <v>221783</v>
      </c>
      <c r="U325" s="6">
        <v>146878</v>
      </c>
      <c r="V325" s="6">
        <v>74905</v>
      </c>
    </row>
    <row r="326" spans="1:22" x14ac:dyDescent="0.25">
      <c r="A326">
        <v>2025</v>
      </c>
      <c r="B326" s="1" t="s">
        <v>18</v>
      </c>
      <c r="C326" t="s">
        <v>54</v>
      </c>
      <c r="D326" s="1" t="s">
        <v>730</v>
      </c>
      <c r="E326" t="s">
        <v>405</v>
      </c>
      <c r="F326" s="6">
        <v>394727</v>
      </c>
      <c r="G326" s="6">
        <v>318881</v>
      </c>
      <c r="H326" s="6">
        <v>69513</v>
      </c>
      <c r="I326" s="6">
        <v>249368</v>
      </c>
      <c r="J326" s="6">
        <v>75846</v>
      </c>
      <c r="K326">
        <v>0</v>
      </c>
      <c r="L326" s="6">
        <v>325214</v>
      </c>
      <c r="M326">
        <v>0</v>
      </c>
      <c r="N326">
        <v>0</v>
      </c>
      <c r="O326">
        <v>0</v>
      </c>
      <c r="P326" s="6">
        <v>33790</v>
      </c>
      <c r="Q326" s="6">
        <v>0</v>
      </c>
      <c r="R326" s="6">
        <v>28158</v>
      </c>
      <c r="S326" s="6">
        <v>30938</v>
      </c>
      <c r="T326" s="6">
        <v>418100</v>
      </c>
      <c r="U326" s="6">
        <v>283158</v>
      </c>
      <c r="V326" s="6">
        <v>134942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Data</vt:lpstr>
      <vt:lpstr>Notes</vt:lpstr>
      <vt:lpstr>Payment</vt:lpstr>
      <vt:lpstr>PaymentCodingDetailCheck</vt:lpstr>
      <vt:lpstr>PaymentCodingDetail_Sept-May</vt:lpstr>
      <vt:lpstr>PaymentCodingDetail_June</vt:lpstr>
      <vt:lpstr>PaymentCodingTotal</vt:lpstr>
      <vt:lpstr>Final Total Check</vt:lpstr>
      <vt:lpstr>Data_Detail</vt:lpstr>
      <vt:lpstr>'Final Total Check'!Print_Area</vt:lpstr>
      <vt:lpstr>PaymentCodingDetail_June!Print_Area</vt:lpstr>
      <vt:lpstr>'PaymentCodingDetail_Sept-May'!Print_Area</vt:lpstr>
      <vt:lpstr>PaymentCodingDetailCheck!Print_Area</vt:lpstr>
      <vt:lpstr>PaymentCodingTotal!Print_Area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Management</dc:creator>
  <cp:lastModifiedBy>Parker, John</cp:lastModifiedBy>
  <cp:lastPrinted>2023-09-13T20:45:16Z</cp:lastPrinted>
  <dcterms:created xsi:type="dcterms:W3CDTF">2017-09-06T19:30:28Z</dcterms:created>
  <dcterms:modified xsi:type="dcterms:W3CDTF">2025-06-10T20:05:48Z</dcterms:modified>
</cp:coreProperties>
</file>