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6903C23B-6988-4DAD-99AE-995FF8CD49F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N12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F19" i="6" s="1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N25" i="9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<sst xmlns="http://schemas.openxmlformats.org/spreadsheetml/2006/main" count="984" uniqueCount="372">
  <si>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</si>
  <si>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</si>
  <si>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</si>
  <si>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</si>
  <si>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</si>
  <si>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</si>
  <si>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</si>
  <si>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</si>
  <si>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</si>
  <si>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</si>
  <si>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</si>
  <si>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</si>
  <si>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</si>
  <si>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</si>
  <si>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</si>
  <si>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</si>
  <si>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</si>
  <si>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</si>
  <si>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</si>
  <si>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</si>
  <si>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</si>
  <si>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</si>
  <si>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</si>
  <si>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</si>
  <si>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</si>
  <si>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</si>
  <si>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</si>
  <si>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</si>
  <si>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</si>
  <si>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</si>
  <si>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</si>
  <si>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</si>
  <si>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</si>
  <si>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</si>
  <si>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</si>
  <si>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</si>
  <si>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</si>
  <si>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</si>
  <si>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</si>
  <si>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</si>
  <si>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</si>
  <si>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</si>
  <si>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</si>
  <si>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</si>
  <si>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</si>
  <si>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</si>
  <si>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</si>
  <si>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</si>
  <si>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</si>
  <si>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</si>
  <si>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</si>
  <si>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</si>
  <si>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</si>
  <si>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</si>
  <si>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</si>
  <si>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</si>
  <si>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</si>
  <si>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</si>
  <si>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</si>
  <si>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</si>
  <si>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</si>
  <si>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</si>
  <si>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</si>
  <si>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</si>
  <si>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</si>
  <si>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</si>
  <si>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</si>
  <si>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</si>
  <si>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</si>
  <si>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</si>
  <si>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</si>
  <si>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</si>
  <si>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</si>
  <si>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</si>
  <si>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</si>
  <si>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</si>
  <si>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</si>
  <si>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</si>
  <si>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</si>
  <si>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</si>
  <si>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</si>
  <si>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</si>
  <si>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</si>
  <si>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</si>
  <si>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</si>
  <si>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</si>
  <si>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</si>
  <si>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</si>
  <si>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</si>
  <si>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</si>
  <si>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</si>
  <si>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</si>
  <si>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</si>
  <si>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</si>
  <si>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</si>
  <si>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</si>
  <si>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</si>
  <si>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</si>
  <si>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</si>
  <si>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</si>
  <si>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</si>
  <si>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</si>
  <si>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</si>
  <si>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</si>
  <si>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</si>
  <si>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</si>
  <si>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</si>
  <si>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</si>
  <si>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</si>
  <si>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</si>
  <si>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</si>
  <si>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</si>
  <si>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</si>
  <si>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</si>
  <si>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</si>
  <si>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</si>
  <si>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</si>
  <si>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</si>
  <si>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</si>
  <si>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</si>
  <si>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</si>
  <si>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</si>
  <si>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</si>
  <si>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</si>
  <si>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</si>
  <si>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</si>
  <si>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</si>
  <si>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</si>
  <si>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</si>
  <si>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</si>
  <si>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</si>
  <si>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</si>
  <si>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</si>
  <si>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</si>
  <si>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</si>
  <si>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</si>
  <si>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</si>
  <si>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</si>
  <si>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</si>
  <si>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</si>
  <si>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</si>
  <si>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</si>
  <si>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</si>
  <si>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</si>
  <si>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</si>
  <si>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</si>
  <si>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</si>
  <si>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</si>
  <si>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</si>
  <si>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</si>
  <si>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</si>
  <si>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</si>
  <si>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</si>
  <si>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</si>
  <si>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</si>
  <si>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</si>
  <si>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</si>
  <si>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</si>
  <si>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</si>
  <si>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</si>
  <si>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</si>
  <si>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</si>
  <si>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</si>
  <si>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</si>
  <si>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</si>
  <si>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</si>
  <si>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</si>
  <si>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</si>
  <si>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</si>
  <si>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</si>
  <si>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</si>
  <si>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</si>
  <si>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</si>
  <si>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</si>
  <si>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</si>
  <si>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</si>
  <si>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</si>
  <si>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</si>
  <si>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</si>
  <si>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</si>
  <si>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</si>
  <si>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</si>
  <si>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</si>
  <si>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</si>
  <si>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</si>
  <si>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</si>
  <si>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</si>
  <si>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</si>
  <si>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</si>
  <si>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</si>
  <si>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</si>
  <si>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</si>
  <si>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</si>
  <si>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</si>
  <si>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</si>
  <si>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</si>
  <si>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</si>
  <si>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</si>
  <si>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</si>
  <si>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</si>
  <si>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</si>
  <si>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</si>
  <si>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</si>
  <si>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</si>
  <si>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</si>
  <si>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</si>
  <si>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</si>
  <si>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</si>
  <si>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</si>
  <si>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</si>
  <si>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</si>
  <si>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</si>
  <si>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</si>
  <si>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</si>
  <si>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</si>
  <si>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</si>
  <si>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</si>
  <si>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</si>
  <si>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</si>
  <si>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</si>
  <si>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</si>
  <si>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</si>
  <si>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</si>
  <si>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</si>
  <si>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</si>
  <si>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</si>
  <si>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</si>
  <si>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</si>
  <si>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</si>
  <si>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</si>
  <si>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</si>
  <si>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</si>
  <si>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</si>
  <si>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</si>
  <si>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</si>
  <si>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</si>
  <si>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</si>
  <si>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</si>
  <si>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</si>
  <si>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</si>
  <si>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</si>
  <si>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</si>
  <si>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</si>
  <si>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</si>
  <si>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</si>
  <si>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</si>
  <si>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</si>
  <si>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</si>
  <si>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</si>
  <si>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</si>
  <si>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</si>
  <si>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</si>
  <si>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</si>
  <si>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</si>
  <si>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</si>
  <si>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</si>
  <si>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</si>
  <si>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</si>
  <si>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</si>
  <si>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</si>
  <si>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</si>
  <si>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</si>
  <si>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</si>
  <si>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</si>
  <si>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</si>
  <si>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</si>
  <si>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</si>
  <si>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</si>
  <si>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</si>
  <si>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</si>
  <si>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</si>
  <si>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</si>
  <si>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</si>
  <si>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</si>
  <si>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</si>
  <si>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</si>
  <si>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</si>
  <si>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</si>
  <si>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</si>
  <si>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</si>
  <si>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</si>
  <si>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</si>
  <si>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</si>
  <si>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</si>
  <si>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</si>
  <si>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</si>
  <si>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</si>
  <si>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Mirela Jusic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</si>
  <si>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</si>
  <si>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</si>
  <si>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</si>
  <si>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 &amp; DIA services.</t>
    </r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</si>
  <si>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</si>
  <si>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</si>
  <si>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</si>
  <si>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</si>
  <si>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</si>
  <si>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</si>
  <si>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</si>
  <si>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</si>
  <si>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</si>
  <si>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</si>
  <si>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</si>
  <si>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</si>
  <si>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</si>
  <si>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</si>
  <si>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</si>
  <si>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</si>
  <si>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</si>
  <si>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</si>
  <si>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</si>
  <si>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</si>
  <si>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</si>
  <si>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</si>
  <si>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</si>
  <si>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</si>
  <si>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</si>
  <si>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</si>
  <si>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</si>
  <si>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</si>
  <si>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</si>
  <si>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</si>
  <si>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</si>
  <si>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</si>
  <si>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</si>
  <si>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</si>
  <si>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</si>
  <si>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</si>
  <si>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</si>
  <si>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</si>
  <si>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</si>
  <si>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</si>
  <si>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</si>
  <si>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</si>
  <si>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</si>
  <si>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</si>
  <si>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</si>
  <si>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</si>
  <si>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</si>
  <si>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</si>
  <si>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</si>
  <si>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</si>
  <si>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</si>
  <si>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</si>
  <si>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</si>
  <si>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</si>
  <si>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</si>
  <si>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</si>
  <si>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</si>
  <si>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</si>
  <si>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</si>
  <si>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</si>
  <si>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</si>
  <si>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</si>
  <si>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</si>
  <si>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</si>
  <si>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</si>
  <si>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</si>
  <si>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</si>
  <si>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</si>
  <si>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</si>
  <si>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</si>
  <si>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April have 3 payroll runs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</si>
  <si>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runs but the pay days are reflected in November and May.</t>
    </r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</si>
  <si>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</si>
  <si>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</si>
  <si>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</si>
  <si>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</si>
  <si>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</si>
  <si>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t>Period 10- April 2025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</si>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</sst>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141172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45897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1543738.48</c:v>
                </c:pt>
                <c:pt idx="1">
                  <c:v>10714.87</c:v>
                </c:pt>
                <c:pt idx="2">
                  <c:v>1275.5899999999999</c:v>
                </c:pt>
                <c:pt idx="3">
                  <c:v>8140.62</c:v>
                </c:pt>
                <c:pt idx="4">
                  <c:v>0</c:v>
                </c:pt>
                <c:pt idx="5">
                  <c:v>0</c:v>
                </c:pt>
                <c:pt idx="6">
                  <c:v>201</c:v>
                </c:pt>
                <c:pt idx="7">
                  <c:v>0</c:v>
                </c:pt>
                <c:pt idx="8">
                  <c:v>3838.6500000000005</c:v>
                </c:pt>
                <c:pt idx="9">
                  <c:v>14080.300000000001</c:v>
                </c:pt>
                <c:pt idx="10">
                  <c:v>47250</c:v>
                </c:pt>
                <c:pt idx="11">
                  <c:v>2132.3599999999997</c:v>
                </c:pt>
                <c:pt idx="12">
                  <c:v>2345.4</c:v>
                </c:pt>
                <c:pt idx="13">
                  <c:v>3943.93</c:v>
                </c:pt>
                <c:pt idx="14">
                  <c:v>0</c:v>
                </c:pt>
                <c:pt idx="15">
                  <c:v>330.13</c:v>
                </c:pt>
                <c:pt idx="16">
                  <c:v>8294.7699999999986</c:v>
                </c:pt>
                <c:pt idx="17">
                  <c:v>202362.49</c:v>
                </c:pt>
                <c:pt idx="18">
                  <c:v>0</c:v>
                </c:pt>
                <c:pt idx="19">
                  <c:v>112743.65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25536.010000000002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7.5593371814245774E-2"/>
                  <c:y val="-0.109473711656870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IT Equipment &amp; Software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1543738.48</c:v>
                </c:pt>
                <c:pt idx="1">
                  <c:v>202362.49</c:v>
                </c:pt>
                <c:pt idx="2">
                  <c:v>112743.65</c:v>
                </c:pt>
                <c:pt idx="3">
                  <c:v>47250</c:v>
                </c:pt>
                <c:pt idx="4">
                  <c:v>25536.010000000002</c:v>
                </c:pt>
                <c:pt idx="5">
                  <c:v>21494.880000000001</c:v>
                </c:pt>
                <c:pt idx="6">
                  <c:v>14080.300000000001</c:v>
                </c:pt>
                <c:pt idx="7">
                  <c:v>10714.87</c:v>
                </c:pt>
                <c:pt idx="8">
                  <c:v>31172.449999999953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03926018112111"/>
          <c:y val="5.4877878159249986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292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 t="s">
        <v>287</v>
      </c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360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45778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325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369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BOEE'!O53</f>
        <v>1360370.5599999996</v>
      </c>
      <c r="F19" s="410">
        <f>-'9397 BOEE'!T9</f>
        <v>1500000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1360370.5599999996</v>
      </c>
      <c r="E20" s="412"/>
      <c r="F20" s="411">
        <f>SUM(F19:F19)</f>
        <v>1500000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348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352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349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350</v>
      </c>
      <c r="C48" s="14"/>
      <c r="D48" s="414" t="s">
        <v>351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75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286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299</v>
      </c>
      <c r="B11" s="258" t="s">
        <v>321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309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323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285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284</v>
      </c>
      <c r="B20" s="255" t="s">
        <v>295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1357567.25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461462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1819128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1543738.48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10714.87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1275.5899999999999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8140.62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201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3838.6500000000005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14080.300000000001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47250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2345.4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3943.93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330.13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8294.7699999999986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202362.49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112743.65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25536.010000000002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670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77367</v>
      </c>
      <c r="Q50" s="101">
        <f t="shared" si="25"/>
        <v>0</v>
      </c>
      <c r="R50" s="101">
        <f t="shared" si="25"/>
        <v>0</v>
      </c>
      <c r="S50" s="101">
        <f t="shared" si="25"/>
        <v>2006960.7699999998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-77367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A2" sqref="A2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324</v>
      </c>
      <c r="V2" s="67" t="s">
        <v>346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0.83333333333333337</v>
      </c>
      <c r="W3" s="48"/>
    </row>
    <row r="4" spans="1:28" s="1" customFormat="1" ht="18" customHeight="1" x14ac:dyDescent="0.25">
      <c r="A4" s="47" t="s">
        <v>9</v>
      </c>
      <c r="B4" s="47" t="s">
        <v>293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326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331</v>
      </c>
      <c r="U6" s="53" t="s">
        <v>332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-1400000</v>
      </c>
      <c r="R9" s="195"/>
      <c r="S9" s="198">
        <f>SUMIF($D$6:$R$6,$X$2,D9:R9)</f>
        <v>0</v>
      </c>
      <c r="T9" s="70">
        <f>SUM(D9:R9)</f>
        <v>-1500000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141172</v>
      </c>
      <c r="N12" s="70">
        <v>201000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1357567.25</v>
      </c>
      <c r="T12" s="70">
        <f>SUM(D12:R12)</f>
        <v>1676567.25</v>
      </c>
      <c r="U12" s="70">
        <v>1800000</v>
      </c>
      <c r="V12" s="199">
        <f>IF(U12=0,0,SUMIF($D$6:$R$6,$X$2,D12:R12)/U12)</f>
        <v>0.75420402777777773</v>
      </c>
      <c r="W12" s="199">
        <f>IF(U12=0,0,T12/U12)</f>
        <v>0.93142625000000001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45897</v>
      </c>
      <c r="N14" s="70">
        <v>55000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461462</v>
      </c>
      <c r="T14" s="70">
        <f>SUM(D14:R14)</f>
        <v>566962</v>
      </c>
      <c r="U14" s="70">
        <v>590000</v>
      </c>
      <c r="V14" s="199">
        <f>IF(U14=0,0,SUMIF($D$6:$R$6,$X$2,D14:R14)/U14)</f>
        <v>0.7821389830508475</v>
      </c>
      <c r="W14" s="199">
        <f>IF(U14=0,0,T14/U14)</f>
        <v>0.9609525423728813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187069</v>
      </c>
      <c r="N16" s="91">
        <f t="shared" si="0"/>
        <v>256000</v>
      </c>
      <c r="O16" s="91">
        <f t="shared" si="0"/>
        <v>168500</v>
      </c>
      <c r="P16" s="91">
        <v>-100000</v>
      </c>
      <c r="Q16" s="91">
        <v>-1400000</v>
      </c>
      <c r="R16" s="201">
        <f>SUM(R8:R15)</f>
        <v>0</v>
      </c>
      <c r="S16" s="201">
        <f t="shared" ref="S16:U16" si="1">SUM(S8:S15)</f>
        <v>3323279.69</v>
      </c>
      <c r="T16" s="91">
        <f t="shared" si="1"/>
        <v>2247779.69</v>
      </c>
      <c r="U16" s="91">
        <f t="shared" si="1"/>
        <v>2868462</v>
      </c>
      <c r="V16" s="202">
        <f>SUMIF($D$6:$R$6,$X$2,D16:R16)/U16</f>
        <v>1.158558032144055</v>
      </c>
      <c r="W16" s="202">
        <f>T16/U16</f>
        <v>0.78361843036442524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233182.75</v>
      </c>
      <c r="N19" s="70">
        <v>220690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1543738.48</v>
      </c>
      <c r="T19" s="70">
        <f t="shared" ref="T19:T42" si="3">SUM(D19:R19)</f>
        <v>1983671.48</v>
      </c>
      <c r="U19" s="70">
        <v>1912643</v>
      </c>
      <c r="V19" s="199">
        <f>IF(U19=0,0,SUMIF($D$6:$R$6,$X$2,D19:R19)/U19)</f>
        <v>0.80712316935256601</v>
      </c>
      <c r="W19" s="199">
        <f>IF(U19=0,0,T19/U19)</f>
        <v>1.0371362977827017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3358.88</v>
      </c>
      <c r="N20" s="70">
        <v>0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10714.87</v>
      </c>
      <c r="T20" s="70">
        <f t="shared" si="3"/>
        <v>10714.87</v>
      </c>
      <c r="U20" s="198">
        <v>21000</v>
      </c>
      <c r="V20" s="199">
        <f t="shared" ref="V20:V42" si="4">IF(U20=0,0,SUMIF($D$6:$R$6,$X$2,D20:R20)/U20)</f>
        <v>0.51023190476190483</v>
      </c>
      <c r="W20" s="199">
        <f t="shared" ref="W20:W42" si="5">IF(U20=0,0,T20/U20)</f>
        <v>0.51023190476190483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1275.5899999999999</v>
      </c>
      <c r="T21" s="70">
        <f t="shared" ref="T21" si="7">SUM(D21:R21)</f>
        <v>1275.5899999999999</v>
      </c>
      <c r="U21" s="198">
        <v>20000</v>
      </c>
      <c r="V21" s="199">
        <f t="shared" ref="V21" si="8">IF(U21=0,0,SUMIF($D$6:$R$6,$X$2,D21:R21)/U21)</f>
        <v>6.3779499999999989E-2</v>
      </c>
      <c r="W21" s="199">
        <f t="shared" ref="W21" si="9">IF(U21=0,0,T21/U21)</f>
        <v>6.3779499999999989E-2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6000</v>
      </c>
      <c r="N22" s="70">
        <v>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8140.62</v>
      </c>
      <c r="T22" s="70">
        <f t="shared" si="3"/>
        <v>8140.62</v>
      </c>
      <c r="U22" s="198">
        <v>10500</v>
      </c>
      <c r="V22" s="199">
        <f t="shared" si="4"/>
        <v>0.7752971428571428</v>
      </c>
      <c r="W22" s="199">
        <f t="shared" si="5"/>
        <v>0.7752971428571428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41</v>
      </c>
      <c r="N25" s="70">
        <v>0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201</v>
      </c>
      <c r="T25" s="70">
        <f t="shared" si="3"/>
        <v>201</v>
      </c>
      <c r="U25" s="198">
        <v>3500</v>
      </c>
      <c r="V25" s="199">
        <f t="shared" si="4"/>
        <v>5.7428571428571426E-2</v>
      </c>
      <c r="W25" s="199">
        <f t="shared" si="5"/>
        <v>5.7428571428571426E-2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360.65</v>
      </c>
      <c r="N27" s="70">
        <v>0</v>
      </c>
      <c r="O27" s="70">
        <v>0</v>
      </c>
      <c r="P27" s="70">
        <v>0</v>
      </c>
      <c r="Q27" s="198">
        <v>0</v>
      </c>
      <c r="R27" s="198">
        <v>0</v>
      </c>
      <c r="S27" s="198">
        <f t="shared" si="2"/>
        <v>3838.6500000000005</v>
      </c>
      <c r="T27" s="70">
        <f t="shared" si="3"/>
        <v>3838.6500000000005</v>
      </c>
      <c r="U27" s="198">
        <v>12500</v>
      </c>
      <c r="V27" s="199">
        <f t="shared" si="4"/>
        <v>0.30709200000000003</v>
      </c>
      <c r="W27" s="199">
        <f t="shared" si="5"/>
        <v>0.30709200000000003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1682.94</v>
      </c>
      <c r="N28" s="70">
        <v>0</v>
      </c>
      <c r="O28" s="70">
        <v>0</v>
      </c>
      <c r="P28" s="70">
        <v>0</v>
      </c>
      <c r="Q28" s="198">
        <v>0</v>
      </c>
      <c r="R28" s="198">
        <v>0</v>
      </c>
      <c r="S28" s="198">
        <f t="shared" si="2"/>
        <v>14080.300000000001</v>
      </c>
      <c r="T28" s="70">
        <f t="shared" si="3"/>
        <v>14080.300000000001</v>
      </c>
      <c r="U28" s="198">
        <v>20000.11</v>
      </c>
      <c r="V28" s="199">
        <f t="shared" si="4"/>
        <v>0.70401112793879639</v>
      </c>
      <c r="W28" s="199">
        <f t="shared" si="5"/>
        <v>0.70401112793879639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47250</v>
      </c>
      <c r="T29" s="70">
        <f t="shared" si="3"/>
        <v>63000</v>
      </c>
      <c r="U29" s="198">
        <v>71500</v>
      </c>
      <c r="V29" s="199">
        <f t="shared" si="4"/>
        <v>0.66083916083916083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246.69</v>
      </c>
      <c r="N30" s="70">
        <v>0</v>
      </c>
      <c r="O30" s="70">
        <v>0</v>
      </c>
      <c r="P30" s="70">
        <v>0</v>
      </c>
      <c r="Q30" s="198">
        <v>0</v>
      </c>
      <c r="R30" s="198"/>
      <c r="S30" s="198">
        <f t="shared" ref="S30" si="18">SUMIF($D$6:$R$6,$X$2,D30:R30)</f>
        <v>2132.3599999999997</v>
      </c>
      <c r="T30" s="70">
        <f t="shared" ref="T30" si="19">SUM(D30:R30)</f>
        <v>2132.3599999999997</v>
      </c>
      <c r="U30" s="198">
        <v>4000.25</v>
      </c>
      <c r="V30" s="199">
        <f t="shared" ref="V30" si="20">IF(U30=0,0,SUMIF($D$6:$R$6,$X$2,D30:R30)/U30)</f>
        <v>0.53305668395725259</v>
      </c>
      <c r="W30" s="199">
        <f t="shared" ref="W30" si="21">IF(U30=0,0,T30/U30)</f>
        <v>0.53305668395725259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2345.4</v>
      </c>
      <c r="T31" s="70">
        <f t="shared" si="3"/>
        <v>2345.4</v>
      </c>
      <c r="U31" s="198">
        <v>5000</v>
      </c>
      <c r="V31" s="199">
        <f t="shared" si="4"/>
        <v>0.46908</v>
      </c>
      <c r="W31" s="199">
        <f t="shared" si="5"/>
        <v>0.46908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737</v>
      </c>
      <c r="N32" s="70">
        <v>0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3943.93</v>
      </c>
      <c r="T32" s="70">
        <f t="shared" si="3"/>
        <v>3943.93</v>
      </c>
      <c r="U32" s="198">
        <v>6000</v>
      </c>
      <c r="V32" s="199">
        <f t="shared" si="4"/>
        <v>0.65732166666666669</v>
      </c>
      <c r="W32" s="199">
        <f t="shared" si="5"/>
        <v>0.65732166666666669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118.23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330.13</v>
      </c>
      <c r="T34" s="70">
        <f t="shared" si="3"/>
        <v>330.13</v>
      </c>
      <c r="U34" s="198">
        <v>1000</v>
      </c>
      <c r="V34" s="199">
        <f t="shared" si="4"/>
        <v>0.33012999999999998</v>
      </c>
      <c r="W34" s="199">
        <f t="shared" si="5"/>
        <v>0.33012999999999998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1241.32</v>
      </c>
      <c r="N35" s="70">
        <v>0</v>
      </c>
      <c r="O35" s="70">
        <v>0</v>
      </c>
      <c r="P35" s="70">
        <v>0</v>
      </c>
      <c r="Q35" s="198">
        <v>0</v>
      </c>
      <c r="R35" s="198">
        <v>0</v>
      </c>
      <c r="S35" s="198">
        <f t="shared" si="2"/>
        <v>8294.7699999999986</v>
      </c>
      <c r="T35" s="70">
        <f t="shared" si="3"/>
        <v>8294.7699999999986</v>
      </c>
      <c r="U35" s="70">
        <v>8000</v>
      </c>
      <c r="V35" s="199">
        <f t="shared" si="4"/>
        <v>1.0368462499999997</v>
      </c>
      <c r="W35" s="199">
        <f t="shared" si="5"/>
        <v>1.0368462499999997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1980.96</v>
      </c>
      <c r="N36" s="70">
        <v>0</v>
      </c>
      <c r="O36" s="70">
        <v>0</v>
      </c>
      <c r="P36" s="70">
        <v>0</v>
      </c>
      <c r="Q36" s="198">
        <v>0</v>
      </c>
      <c r="R36" s="198">
        <v>0</v>
      </c>
      <c r="S36" s="198">
        <f t="shared" si="2"/>
        <v>202362.49</v>
      </c>
      <c r="T36" s="70">
        <f t="shared" si="3"/>
        <v>202362.49</v>
      </c>
      <c r="U36" s="70">
        <v>210000</v>
      </c>
      <c r="V36" s="199">
        <f t="shared" si="4"/>
        <v>0.96363090476190472</v>
      </c>
      <c r="W36" s="199">
        <f t="shared" si="5"/>
        <v>0.96363090476190472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0</v>
      </c>
      <c r="U38" s="70">
        <v>54000</v>
      </c>
      <c r="V38" s="199">
        <f t="shared" si="4"/>
        <v>0</v>
      </c>
      <c r="W38" s="199">
        <f t="shared" si="5"/>
        <v>0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24658.57</v>
      </c>
      <c r="N39" s="70">
        <v>0</v>
      </c>
      <c r="O39" s="70">
        <v>0</v>
      </c>
      <c r="P39" s="70">
        <v>0</v>
      </c>
      <c r="Q39" s="198">
        <v>0</v>
      </c>
      <c r="R39" s="198">
        <v>0</v>
      </c>
      <c r="S39" s="198">
        <f t="shared" si="2"/>
        <v>112743.65</v>
      </c>
      <c r="T39" s="70">
        <f t="shared" si="3"/>
        <v>112743.65</v>
      </c>
      <c r="U39" s="70">
        <v>320000</v>
      </c>
      <c r="V39" s="199">
        <f t="shared" si="4"/>
        <v>0.35232390624999999</v>
      </c>
      <c r="W39" s="199">
        <f t="shared" si="5"/>
        <v>0.35232390624999999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2886.14</v>
      </c>
      <c r="N44" s="70">
        <v>0</v>
      </c>
      <c r="O44" s="70">
        <v>0</v>
      </c>
      <c r="P44" s="70">
        <v>0</v>
      </c>
      <c r="Q44" s="198">
        <v>0</v>
      </c>
      <c r="R44" s="198">
        <v>0</v>
      </c>
      <c r="S44" s="198">
        <f t="shared" si="30"/>
        <v>25536.010000000002</v>
      </c>
      <c r="T44" s="70">
        <f t="shared" si="31"/>
        <v>25536.010000000002</v>
      </c>
      <c r="U44" s="198">
        <v>42000</v>
      </c>
      <c r="V44" s="199">
        <f t="shared" si="32"/>
        <v>0.60800023809523818</v>
      </c>
      <c r="W44" s="199">
        <f t="shared" si="33"/>
        <v>0.60800023809523818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550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670</v>
      </c>
      <c r="T46" s="70">
        <f t="shared" si="31"/>
        <v>670</v>
      </c>
      <c r="U46" s="198">
        <v>5000</v>
      </c>
      <c r="V46" s="199">
        <f t="shared" si="32"/>
        <v>0.13400000000000001</v>
      </c>
      <c r="W46" s="199">
        <f t="shared" si="33"/>
        <v>0.13400000000000001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287545.13</v>
      </c>
      <c r="N48" s="201">
        <f t="shared" si="38"/>
        <v>225940</v>
      </c>
      <c r="O48" s="201">
        <f t="shared" si="38"/>
        <v>152376</v>
      </c>
      <c r="P48" s="201">
        <f t="shared" si="38"/>
        <v>77367</v>
      </c>
      <c r="Q48" s="201">
        <f t="shared" si="38"/>
        <v>0</v>
      </c>
      <c r="R48" s="201">
        <f t="shared" si="38"/>
        <v>0</v>
      </c>
      <c r="S48" s="201">
        <f t="shared" si="38"/>
        <v>2009093.13</v>
      </c>
      <c r="T48" s="91">
        <f t="shared" si="38"/>
        <v>2464776.1299999994</v>
      </c>
      <c r="U48" s="201">
        <f t="shared" si="38"/>
        <v>2785111.0300000003</v>
      </c>
      <c r="V48" s="202">
        <f>SUMIF($D$6:$R$6,$X$2,D48:R48)/U48</f>
        <v>0.72136913335192965</v>
      </c>
      <c r="W48" s="202">
        <f>T48/U48</f>
        <v>0.88498307731738768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-100476.13</v>
      </c>
      <c r="N51" s="201">
        <f t="shared" si="39"/>
        <v>30060</v>
      </c>
      <c r="O51" s="201">
        <f t="shared" si="39"/>
        <v>16124</v>
      </c>
      <c r="P51" s="201">
        <f t="shared" si="39"/>
        <v>-177367</v>
      </c>
      <c r="Q51" s="201">
        <f t="shared" si="39"/>
        <v>-1400000</v>
      </c>
      <c r="R51" s="201">
        <f t="shared" si="39"/>
        <v>0</v>
      </c>
      <c r="S51" s="201">
        <f t="shared" si="39"/>
        <v>1314186.56</v>
      </c>
      <c r="T51" s="91">
        <f t="shared" si="39"/>
        <v>-216996.43999999948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311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1314186.5599999996</v>
      </c>
      <c r="N53" s="210">
        <f t="shared" si="40"/>
        <v>1344246.5599999996</v>
      </c>
      <c r="O53" s="210">
        <f t="shared" si="40"/>
        <v>1360370.5599999996</v>
      </c>
      <c r="P53" s="210">
        <f t="shared" si="40"/>
        <v>1183003.5599999996</v>
      </c>
      <c r="Q53" s="210">
        <f t="shared" si="40"/>
        <v>-216996.44000000041</v>
      </c>
      <c r="R53" s="210">
        <f t="shared" si="40"/>
        <v>-216996.44000000041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301</v>
      </c>
      <c r="W55" s="350" t="s">
        <v>302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310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283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303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303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322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286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363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303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281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368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290</v>
      </c>
      <c r="N62" s="366"/>
      <c r="O62" s="217"/>
      <c r="P62" s="346" t="s">
        <v>312</v>
      </c>
      <c r="Q62" s="176" t="s">
        <v>299</v>
      </c>
      <c r="R62" s="342"/>
      <c r="S62" s="343"/>
      <c r="T62" s="368" t="s">
        <v>321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319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309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333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364</v>
      </c>
      <c r="M64" s="78" t="s">
        <v>356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337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289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336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288</v>
      </c>
      <c r="C66" s="34"/>
      <c r="D66" s="34"/>
      <c r="E66" s="34"/>
      <c r="F66" s="34"/>
      <c r="G66" s="34"/>
      <c r="H66" s="34"/>
      <c r="I66" s="34"/>
      <c r="J66" s="34"/>
      <c r="K66" s="323"/>
      <c r="L66" s="415" t="s">
        <v>365</v>
      </c>
      <c r="M66" s="78" t="s">
        <v>358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370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315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338</v>
      </c>
      <c r="C68" s="34"/>
      <c r="D68" s="34"/>
      <c r="E68" s="34"/>
      <c r="F68" s="34"/>
      <c r="G68" s="34"/>
      <c r="H68" s="34"/>
      <c r="I68" s="34"/>
      <c r="J68" s="34"/>
      <c r="K68" s="34"/>
      <c r="L68" s="415" t="s">
        <v>366</v>
      </c>
      <c r="M68" s="78" t="s">
        <v>359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" x14ac:dyDescent="0.25">
      <c r="A69" s="171">
        <v>434</v>
      </c>
      <c r="B69" s="77" t="s">
        <v>291</v>
      </c>
      <c r="C69" s="34"/>
      <c r="D69" s="34"/>
      <c r="E69" s="34"/>
      <c r="F69" s="34"/>
      <c r="G69" s="34"/>
      <c r="H69" s="34"/>
      <c r="I69" s="34"/>
      <c r="J69" s="34"/>
      <c r="K69" s="323"/>
      <c r="L69" s="336" t="s">
        <v>367</v>
      </c>
      <c r="M69" s="416" t="s">
        <v>371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304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502</v>
      </c>
      <c r="B70" s="77" t="s">
        <v>334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296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503</v>
      </c>
      <c r="B71" s="77" t="s">
        <v>335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300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510</v>
      </c>
      <c r="B72" s="77" t="s">
        <v>347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602</v>
      </c>
      <c r="B73" s="168" t="s">
        <v>218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307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313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305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297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318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320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298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282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314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308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317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316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306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topLeftCell="A7"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293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141172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1357567.25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45897</v>
      </c>
      <c r="N14" s="9">
        <f>IF(N$6="Actual",'9397 BOEE'!N14,0)</f>
        <v>0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461462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187069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1819128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354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44360</v>
      </c>
      <c r="N19" s="385">
        <v>0</v>
      </c>
      <c r="O19" s="385">
        <v>0</v>
      </c>
      <c r="P19" s="293"/>
      <c r="Q19" s="293"/>
      <c r="R19" s="293"/>
      <c r="S19" s="294">
        <f t="shared" si="3"/>
        <v>427438.75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44360</v>
      </c>
      <c r="N21" s="377">
        <f t="shared" si="4"/>
        <v>0</v>
      </c>
      <c r="O21" s="377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427460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231429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2246588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>
        <f>IF(M6="Actual",SUM($D23:M23)/SUM($D50:M50)-1,"")</f>
        <v>1.5075863470352946E-3</v>
      </c>
      <c r="N25" s="334" t="str">
        <f>IF(N6="Actual",SUM($D23:N23)/SUM($D50:N50)-1,"")</f>
        <v/>
      </c>
      <c r="O25" s="354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330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14" activePane="bottomLeft" state="frozen"/>
      <selection activeCell="L17" sqref="L17"/>
      <selection pane="bottomLeft" activeCell="A31" sqref="A31:J3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329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328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357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1357567.25</v>
      </c>
      <c r="D9" s="9"/>
      <c r="E9" s="271">
        <f t="shared" si="1"/>
        <v>1357567.25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461462</v>
      </c>
      <c r="D10" s="9"/>
      <c r="E10" s="271">
        <f t="shared" si="1"/>
        <v>461462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3323279.69</v>
      </c>
      <c r="D11" s="281">
        <f t="shared" ref="D11" si="3">SUM(D6:D10)</f>
        <v>0</v>
      </c>
      <c r="E11" s="281">
        <f t="shared" si="2"/>
        <v>3323279.69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1819128</v>
      </c>
      <c r="D12" s="283">
        <f>SUM(D8:D10)</f>
        <v>0</v>
      </c>
      <c r="E12" s="283">
        <f>SUM(E8:E10)</f>
        <v>1819128</v>
      </c>
      <c r="F12" s="283"/>
      <c r="G12" s="284">
        <f>SUM(G8:G10)</f>
        <v>2396000</v>
      </c>
      <c r="H12" s="285">
        <f>G12-E12</f>
        <v>576872</v>
      </c>
      <c r="I12" s="274">
        <f>IF(G12=0,0,E12/G12)</f>
        <v>0.75923539232053427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1543738.48</v>
      </c>
      <c r="D15" s="9"/>
      <c r="E15" s="271">
        <f t="shared" ref="E15:E42" si="4">C15+D15</f>
        <v>1543738.48</v>
      </c>
      <c r="F15" s="271"/>
      <c r="G15" s="273">
        <f>'9397 BOEE'!U19</f>
        <v>1912643</v>
      </c>
      <c r="H15" s="9">
        <f>G15-E15</f>
        <v>368904.52</v>
      </c>
      <c r="I15" s="274">
        <f t="shared" ref="I15:I43" si="5">IF(G15=0,0,E15/G15)</f>
        <v>0.80712316935256601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10714.87</v>
      </c>
      <c r="D16" s="9"/>
      <c r="E16" s="271">
        <f t="shared" si="4"/>
        <v>10714.87</v>
      </c>
      <c r="F16" s="271"/>
      <c r="G16" s="273">
        <f>'9397 BOEE'!U20</f>
        <v>21000</v>
      </c>
      <c r="H16" s="9">
        <f t="shared" ref="H16:H42" si="6">G16-D16-C16</f>
        <v>10285.129999999999</v>
      </c>
      <c r="I16" s="274">
        <f t="shared" si="5"/>
        <v>0.51023190476190483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1275.5899999999999</v>
      </c>
      <c r="D17" s="9"/>
      <c r="E17" s="271">
        <f t="shared" si="4"/>
        <v>1275.5899999999999</v>
      </c>
      <c r="F17" s="271"/>
      <c r="G17" s="273">
        <f>'9397 BOEE'!U21</f>
        <v>20000</v>
      </c>
      <c r="H17" s="9">
        <f t="shared" si="6"/>
        <v>18724.41</v>
      </c>
      <c r="I17" s="274">
        <f t="shared" si="5"/>
        <v>6.3779499999999989E-2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8140.62</v>
      </c>
      <c r="D18" s="9"/>
      <c r="E18" s="271">
        <f t="shared" si="4"/>
        <v>8140.62</v>
      </c>
      <c r="F18" s="271"/>
      <c r="G18" s="273">
        <f>'9397 BOEE'!U22</f>
        <v>10500</v>
      </c>
      <c r="H18" s="9">
        <f t="shared" si="6"/>
        <v>2359.38</v>
      </c>
      <c r="I18" s="274">
        <f t="shared" si="5"/>
        <v>0.7752971428571428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201</v>
      </c>
      <c r="D21" s="9"/>
      <c r="E21" s="271">
        <f t="shared" si="4"/>
        <v>201</v>
      </c>
      <c r="F21" s="271"/>
      <c r="G21" s="273">
        <f>'9397 BOEE'!U25</f>
        <v>3500</v>
      </c>
      <c r="H21" s="9">
        <f t="shared" si="6"/>
        <v>3299</v>
      </c>
      <c r="I21" s="274">
        <f t="shared" si="5"/>
        <v>5.7428571428571426E-2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3838.6500000000005</v>
      </c>
      <c r="D23" s="9"/>
      <c r="E23" s="271">
        <f t="shared" si="4"/>
        <v>3838.6500000000005</v>
      </c>
      <c r="F23" s="271"/>
      <c r="G23" s="273">
        <f>'9397 BOEE'!U27</f>
        <v>12500</v>
      </c>
      <c r="H23" s="9">
        <f t="shared" si="6"/>
        <v>8661.3499999999985</v>
      </c>
      <c r="I23" s="274">
        <f t="shared" si="5"/>
        <v>0.30709200000000003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14080.300000000001</v>
      </c>
      <c r="D24" s="9"/>
      <c r="E24" s="271">
        <f t="shared" si="4"/>
        <v>14080.300000000001</v>
      </c>
      <c r="F24" s="271"/>
      <c r="G24" s="273">
        <f>'9397 BOEE'!U28</f>
        <v>20000.11</v>
      </c>
      <c r="H24" s="9">
        <f t="shared" si="6"/>
        <v>5919.8099999999995</v>
      </c>
      <c r="I24" s="274">
        <f t="shared" si="5"/>
        <v>0.70401112793879639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47250</v>
      </c>
      <c r="D25" s="9"/>
      <c r="E25" s="271">
        <f t="shared" si="4"/>
        <v>47250</v>
      </c>
      <c r="F25" s="271"/>
      <c r="G25" s="273">
        <f>'9397 BOEE'!U29</f>
        <v>71500</v>
      </c>
      <c r="H25" s="9">
        <f t="shared" si="6"/>
        <v>24250</v>
      </c>
      <c r="I25" s="274">
        <f t="shared" si="5"/>
        <v>0.66083916083916083</v>
      </c>
    </row>
    <row r="26" spans="1:9" x14ac:dyDescent="0.2">
      <c r="A26" s="267" t="s">
        <v>237</v>
      </c>
      <c r="B26" s="266" t="s">
        <v>238</v>
      </c>
      <c r="C26" s="9">
        <f>'9397 BOEE'!S30</f>
        <v>2132.3599999999997</v>
      </c>
      <c r="D26" s="9"/>
      <c r="E26" s="271">
        <f t="shared" ref="E26" si="11">C26+D26</f>
        <v>2132.3599999999997</v>
      </c>
      <c r="F26" s="271"/>
      <c r="G26" s="273">
        <f>'9397 BOEE'!U30</f>
        <v>4000.25</v>
      </c>
      <c r="H26" s="9">
        <f t="shared" ref="H26" si="12">G26-D26-C26</f>
        <v>1867.8900000000003</v>
      </c>
      <c r="I26" s="274">
        <f t="shared" si="5"/>
        <v>0.53305668395725259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2345.4</v>
      </c>
      <c r="D27" s="9"/>
      <c r="E27" s="271">
        <f t="shared" si="4"/>
        <v>2345.4</v>
      </c>
      <c r="F27" s="271"/>
      <c r="G27" s="273">
        <f>'9397 BOEE'!U31</f>
        <v>5000</v>
      </c>
      <c r="H27" s="9">
        <f t="shared" si="6"/>
        <v>2654.6</v>
      </c>
      <c r="I27" s="274">
        <f t="shared" si="5"/>
        <v>0.46908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3943.93</v>
      </c>
      <c r="D28" s="9"/>
      <c r="E28" s="271">
        <f t="shared" si="4"/>
        <v>3943.93</v>
      </c>
      <c r="F28" s="271"/>
      <c r="G28" s="273">
        <f>'9397 BOEE'!U32</f>
        <v>6000</v>
      </c>
      <c r="H28" s="9">
        <f t="shared" si="6"/>
        <v>2056.0700000000002</v>
      </c>
      <c r="I28" s="274">
        <f t="shared" si="5"/>
        <v>0.65732166666666669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330.13</v>
      </c>
      <c r="D30" s="9"/>
      <c r="E30" s="271">
        <f t="shared" si="4"/>
        <v>330.13</v>
      </c>
      <c r="F30" s="271"/>
      <c r="G30" s="273">
        <f>'9397 BOEE'!U34</f>
        <v>1000</v>
      </c>
      <c r="H30" s="9">
        <f t="shared" si="6"/>
        <v>669.87</v>
      </c>
      <c r="I30" s="274">
        <f t="shared" si="5"/>
        <v>0.33012999999999998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8294.7699999999986</v>
      </c>
      <c r="D31" s="9"/>
      <c r="E31" s="271">
        <f t="shared" si="4"/>
        <v>8294.7699999999986</v>
      </c>
      <c r="F31" s="271"/>
      <c r="G31" s="273">
        <f>'9397 BOEE'!U35</f>
        <v>8000</v>
      </c>
      <c r="H31" s="9">
        <f t="shared" si="6"/>
        <v>-294.76999999999862</v>
      </c>
      <c r="I31" s="274">
        <f t="shared" si="5"/>
        <v>1.0368462499999997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202362.49</v>
      </c>
      <c r="D32" s="9"/>
      <c r="E32" s="271">
        <f t="shared" si="4"/>
        <v>202362.49</v>
      </c>
      <c r="F32" s="271"/>
      <c r="G32" s="273">
        <f>'9397 BOEE'!U36</f>
        <v>210000</v>
      </c>
      <c r="H32" s="9">
        <f t="shared" si="6"/>
        <v>7637.5100000000093</v>
      </c>
      <c r="I32" s="274">
        <f t="shared" si="5"/>
        <v>0.96363090476190472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112743.65</v>
      </c>
      <c r="D35" s="9"/>
      <c r="E35" s="271">
        <f t="shared" si="4"/>
        <v>112743.65</v>
      </c>
      <c r="F35" s="271"/>
      <c r="G35" s="273">
        <f>'9397 BOEE'!U39</f>
        <v>320000</v>
      </c>
      <c r="H35" s="9">
        <f t="shared" si="6"/>
        <v>207256.35</v>
      </c>
      <c r="I35" s="274">
        <f t="shared" si="5"/>
        <v>0.35232390624999999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25536.010000000002</v>
      </c>
      <c r="D40" s="9"/>
      <c r="E40" s="271">
        <f t="shared" si="4"/>
        <v>25536.010000000002</v>
      </c>
      <c r="F40" s="271"/>
      <c r="G40" s="273">
        <f>'9397 BOEE'!U44</f>
        <v>42000</v>
      </c>
      <c r="H40" s="9">
        <f t="shared" si="6"/>
        <v>16463.989999999998</v>
      </c>
      <c r="I40" s="274">
        <f t="shared" si="5"/>
        <v>0.60800023809523818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670</v>
      </c>
      <c r="D42" s="9"/>
      <c r="E42" s="271">
        <f t="shared" si="4"/>
        <v>670</v>
      </c>
      <c r="F42" s="271"/>
      <c r="G42" s="273">
        <f>'9397 BOEE'!U46</f>
        <v>5000</v>
      </c>
      <c r="H42" s="9">
        <f t="shared" si="6"/>
        <v>4330</v>
      </c>
      <c r="I42" s="274">
        <f t="shared" si="5"/>
        <v>0.13400000000000001</v>
      </c>
    </row>
    <row r="43" spans="1:9" x14ac:dyDescent="0.2">
      <c r="A43" s="266"/>
      <c r="B43" s="268" t="s">
        <v>192</v>
      </c>
      <c r="C43" s="280">
        <f>SUM(C15:C42)</f>
        <v>2009093.13</v>
      </c>
      <c r="D43" s="280">
        <f>SUM(D15:D42)</f>
        <v>0</v>
      </c>
      <c r="E43" s="280">
        <f>SUM(E15:E42)</f>
        <v>2009093.13</v>
      </c>
      <c r="F43" s="280"/>
      <c r="G43" s="280">
        <f>SUM(G15:G42)</f>
        <v>2785111.0300000003</v>
      </c>
      <c r="H43" s="280">
        <f>SUM(H15:H42)</f>
        <v>775017.89999999991</v>
      </c>
      <c r="I43" s="274">
        <f t="shared" si="5"/>
        <v>0.72136913335192954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-189965.12999999989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1314186.56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G1" sqref="G1:G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7.85546875" hidden="1" customWidth="1"/>
    <col min="6" max="6" width="9.42578125" customWidth="1"/>
    <col min="7" max="7" width="8.28515625" hidden="1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329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1357567.25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461462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3323279.69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1819128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1543738.48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1543738.48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10714.87</v>
      </c>
      <c r="F16">
        <v>2</v>
      </c>
      <c r="G16" s="308"/>
      <c r="H16" s="307" t="str">
        <f t="shared" si="2"/>
        <v>ITD Reimbursements</v>
      </c>
      <c r="I16" s="312">
        <f t="shared" si="3"/>
        <v>202362.49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1275.5899999999999</v>
      </c>
      <c r="F17">
        <v>3</v>
      </c>
      <c r="G17" s="308"/>
      <c r="H17" s="307" t="str">
        <f t="shared" si="2"/>
        <v>Gov Transfer Other Agencies</v>
      </c>
      <c r="I17" s="312">
        <f t="shared" si="3"/>
        <v>112743.65</v>
      </c>
      <c r="J17" s="303"/>
      <c r="K17" s="14"/>
      <c r="L17" s="14"/>
      <c r="M17" s="14"/>
      <c r="N17" s="14"/>
    </row>
    <row r="18" spans="1:14" x14ac:dyDescent="0.2">
      <c r="A18" s="308">
        <f t="shared" si="1"/>
        <v>10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8140.62</v>
      </c>
      <c r="F18">
        <v>4</v>
      </c>
      <c r="G18" s="308"/>
      <c r="H18" s="307" t="str">
        <f t="shared" si="2"/>
        <v>Rentals</v>
      </c>
      <c r="I18" s="312">
        <f t="shared" si="3"/>
        <v>47250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19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25536.010000000002</v>
      </c>
      <c r="J19" s="303"/>
      <c r="K19" s="14"/>
      <c r="L19" s="14"/>
      <c r="M19" s="14"/>
      <c r="N19" s="14"/>
    </row>
    <row r="20" spans="1:14" x14ac:dyDescent="0.2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IT Equipment &amp; Software</v>
      </c>
      <c r="I20" s="312">
        <f t="shared" si="3"/>
        <v>21494.880000000001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201</v>
      </c>
      <c r="F21">
        <v>7</v>
      </c>
      <c r="G21" s="308"/>
      <c r="H21" s="307" t="str">
        <f t="shared" si="2"/>
        <v>Communications</v>
      </c>
      <c r="I21" s="312">
        <f t="shared" si="3"/>
        <v>14080.300000000001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10714.87</v>
      </c>
      <c r="J22" s="303"/>
      <c r="K22" s="14"/>
      <c r="L22" s="14"/>
      <c r="M22" s="14"/>
      <c r="N22" s="14"/>
    </row>
    <row r="23" spans="1:14" x14ac:dyDescent="0.2">
      <c r="A23" s="308">
        <f t="shared" si="1"/>
        <v>12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3838.6500000000005</v>
      </c>
      <c r="G23" s="308"/>
      <c r="H23" s="307" t="s">
        <v>249</v>
      </c>
      <c r="I23" s="312">
        <f>I25-SUM(I15:I22)</f>
        <v>31172.449999999953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14080.300000000001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47250</v>
      </c>
      <c r="G25" s="308"/>
      <c r="H25" s="307" t="s">
        <v>192</v>
      </c>
      <c r="I25" s="312">
        <f>D43</f>
        <v>2009093.13</v>
      </c>
      <c r="J25" s="303"/>
      <c r="K25" s="14"/>
      <c r="L25" s="14"/>
      <c r="M25" s="14"/>
      <c r="N25" s="14"/>
    </row>
    <row r="26" spans="1:14" x14ac:dyDescent="0.2">
      <c r="A26" s="308">
        <f t="shared" si="1"/>
        <v>14</v>
      </c>
      <c r="B26" s="267" t="s">
        <v>237</v>
      </c>
      <c r="C26" s="266" t="s">
        <v>238</v>
      </c>
      <c r="D26" s="9">
        <f>'Obligations vs Bgt'!E26</f>
        <v>2132.3599999999997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13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2345.4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3943.93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330.13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9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8294.7699999999986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202362.49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112743.65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25536.010000000002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670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2009093.13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-189965.12999999989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1314186.56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339</v>
      </c>
      <c r="C2" s="47"/>
      <c r="D2" s="48"/>
      <c r="E2" s="48"/>
      <c r="F2" s="48"/>
      <c r="G2" s="48"/>
      <c r="H2" s="48"/>
      <c r="I2" s="48"/>
      <c r="J2" s="133" t="s">
        <v>327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324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0.83333333333333337</v>
      </c>
      <c r="W3" s="48"/>
      <c r="X3" s="1"/>
      <c r="Y3" s="1"/>
    </row>
    <row r="4" spans="1:25" ht="15.75" x14ac:dyDescent="0.25">
      <c r="A4" s="47" t="s">
        <v>9</v>
      </c>
      <c r="B4" s="47" t="s">
        <v>293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326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331</v>
      </c>
      <c r="U6" s="53" t="s">
        <v>332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353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26242.2</v>
      </c>
      <c r="N14" s="70">
        <v>26901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112659.68000000001</v>
      </c>
      <c r="T14" s="70">
        <f t="shared" ref="T14:T18" si="2">SUM(D14:R14)</f>
        <v>166462.68</v>
      </c>
      <c r="U14" s="70">
        <v>233152</v>
      </c>
      <c r="V14" s="71">
        <f>IF(U14=0,0,SUMIF($D$6:$R$6,$X$2,D14:R14)/U14)</f>
        <v>0.48320271754048866</v>
      </c>
      <c r="W14" s="199">
        <f>IF(U14=0,0,T14/U14)</f>
        <v>0.71396633955531152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11.5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25</v>
      </c>
      <c r="T17" s="70">
        <f t="shared" si="2"/>
        <v>25</v>
      </c>
      <c r="U17" s="70">
        <v>24</v>
      </c>
      <c r="V17" s="71">
        <f t="shared" si="3"/>
        <v>1.0416666666666667</v>
      </c>
      <c r="W17" s="199">
        <f t="shared" si="4"/>
        <v>1.0416666666666667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26253.7</v>
      </c>
      <c r="N20" s="91">
        <f t="shared" si="5"/>
        <v>26901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112684.68000000001</v>
      </c>
      <c r="T20" s="91">
        <f t="shared" si="5"/>
        <v>166487.67999999999</v>
      </c>
      <c r="U20" s="91">
        <f t="shared" si="5"/>
        <v>239176</v>
      </c>
      <c r="V20" s="92">
        <f>SUMIF($D$6:$R$6,$X$2,D20:R20)/U20</f>
        <v>0.47113707060909127</v>
      </c>
      <c r="W20" s="202">
        <f>T20/U20</f>
        <v>0.69608857075960795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-26253.7</v>
      </c>
      <c r="N23" s="91">
        <f t="shared" si="6"/>
        <v>-26901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-112684.68000000001</v>
      </c>
      <c r="T23" s="91">
        <f t="shared" si="6"/>
        <v>-166487.67999999999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311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-112684.68000000001</v>
      </c>
      <c r="N25" s="130">
        <f t="shared" si="7"/>
        <v>-139585.68</v>
      </c>
      <c r="O25" s="130">
        <f t="shared" si="7"/>
        <v>-157520.68</v>
      </c>
      <c r="P25" s="130">
        <f t="shared" si="7"/>
        <v>-166487.67999999999</v>
      </c>
      <c r="Q25" s="130">
        <f t="shared" si="7"/>
        <v>-166487.67999999999</v>
      </c>
      <c r="R25" s="130">
        <f t="shared" si="7"/>
        <v>-166487.67999999999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301</v>
      </c>
      <c r="W27" s="350" t="s">
        <v>302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341</v>
      </c>
      <c r="Q28" s="176" t="s">
        <v>299</v>
      </c>
      <c r="R28" s="342"/>
      <c r="S28" s="343"/>
      <c r="T28" s="174" t="s">
        <v>340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344</v>
      </c>
      <c r="Q29" s="176" t="s">
        <v>299</v>
      </c>
      <c r="R29" s="342"/>
      <c r="S29" s="343"/>
      <c r="T29" s="368" t="s">
        <v>361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300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362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343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355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345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  <pageSetup scale="3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280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294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2025-05-08T18:18:02Z</cp:lastPrinted>
  <dcterms:created xsi:type="dcterms:W3CDTF">2015-04-28T12:49:55Z</dcterms:created>
  <dcterms:modified xsi:type="dcterms:W3CDTF">2025-05-09T20:35:38Z</dcterms:modified>
</cp:coreProperties>
</file>