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8_{B315C6BF-3557-4D12-A7A8-D7CFDC82B2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I23" i="15" l="1"/>
  <c r="K23" i="15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N12" i="9" l="1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F19" i="6" s="1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O12" i="9"/>
  <c r="P12" i="9"/>
  <c r="Q12" i="9"/>
  <c r="R12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O25" i="9" l="1"/>
  <c r="N25" i="9"/>
  <c r="M25" i="9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Q19" i="3" s="1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19" i="6"/>
  <c r="D20" i="6" s="1"/>
</calcChain>
</file>

<file path=xl/sharedStrings.xml><?xml version="1.0" encoding="utf-8"?>
<sst xmlns="http://schemas.openxmlformats.org/spreadsheetml/2006/main" count="981" uniqueCount="369">
  <si>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</si>
  <si>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</si>
  <si>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</si>
  <si>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</si>
  <si>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</si>
  <si>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</si>
  <si>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</si>
  <si>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</si>
  <si>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</si>
  <si>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</si>
  <si>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</si>
  <si>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</si>
  <si>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</si>
  <si>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</si>
  <si>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</si>
  <si>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</si>
  <si>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</si>
  <si>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</si>
  <si>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</si>
  <si>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</si>
  <si>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</si>
  <si>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</si>
  <si>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</si>
  <si>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</si>
  <si>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</si>
  <si>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</si>
  <si>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</si>
  <si>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</si>
  <si>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</si>
  <si>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</si>
  <si>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</si>
  <si>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</si>
  <si>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</si>
  <si>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</si>
  <si>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</si>
  <si>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</si>
  <si>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</si>
  <si>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</si>
  <si>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</si>
  <si>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</si>
  <si>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</si>
  <si>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</si>
  <si>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</si>
  <si>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</si>
  <si>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</si>
  <si>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</si>
  <si>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</si>
  <si>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</si>
  <si>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</si>
  <si>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</si>
  <si>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</si>
  <si>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</si>
  <si>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</si>
  <si>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</si>
  <si>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</si>
  <si>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</si>
  <si>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</si>
  <si>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</si>
  <si>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</si>
  <si>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</si>
  <si>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</si>
  <si>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</si>
  <si>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</si>
  <si>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</si>
  <si>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</si>
  <si>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</si>
  <si>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</si>
  <si>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</si>
  <si>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</si>
  <si>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</si>
  <si>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</si>
  <si>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</si>
  <si>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</si>
  <si>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</si>
  <si>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</si>
  <si>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</si>
  <si>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</si>
  <si>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</si>
  <si>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</si>
  <si>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</si>
  <si>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</si>
  <si>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</si>
  <si>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</si>
  <si>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</si>
  <si>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</si>
  <si>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</si>
  <si>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</si>
  <si>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</si>
  <si>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</si>
  <si>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</si>
  <si>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</si>
  <si>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</si>
  <si>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</si>
  <si>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</si>
  <si>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</si>
  <si>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</si>
  <si>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</si>
  <si>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</si>
  <si>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</si>
  <si>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</si>
  <si>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</si>
  <si>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</si>
  <si>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</si>
  <si>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</si>
  <si>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</si>
  <si>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</si>
  <si>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</si>
  <si>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</si>
  <si>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</si>
  <si>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</si>
  <si>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</si>
  <si>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</si>
  <si>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</si>
  <si>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</si>
  <si>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</si>
  <si>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</si>
  <si>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</si>
  <si>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</si>
  <si>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</si>
  <si>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</si>
  <si>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</si>
  <si>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</si>
  <si>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</si>
  <si>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</si>
  <si>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</si>
  <si>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</si>
  <si>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</si>
  <si>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</si>
  <si>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</si>
  <si>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</si>
  <si>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</si>
  <si>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</si>
  <si>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</si>
  <si>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</si>
  <si>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</si>
  <si>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</si>
  <si>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</si>
  <si>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</si>
  <si>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</si>
  <si>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</si>
  <si>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</si>
  <si>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</si>
  <si>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</si>
  <si>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</si>
  <si>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</si>
  <si>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</si>
  <si>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</si>
  <si>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</si>
  <si>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</si>
  <si>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</si>
  <si>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</si>
  <si>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</si>
  <si>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</si>
  <si>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</si>
  <si>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</si>
  <si>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</si>
  <si>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</si>
  <si>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</si>
  <si>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</si>
  <si>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</si>
  <si>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</si>
  <si>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</si>
  <si>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</si>
  <si>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</si>
  <si>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</si>
  <si>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</si>
  <si>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</si>
  <si>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</si>
  <si>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</si>
  <si>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</si>
  <si>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</si>
  <si>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</si>
  <si>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</si>
  <si>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</si>
  <si>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</si>
  <si>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</si>
  <si>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</si>
  <si>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</si>
  <si>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</si>
  <si>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</si>
  <si>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</si>
  <si>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</si>
  <si>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</si>
  <si>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</si>
  <si>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</si>
  <si>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</si>
  <si>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</si>
  <si>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</si>
  <si>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</si>
  <si>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</si>
  <si>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</si>
  <si>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</si>
  <si>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</si>
  <si>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</si>
  <si>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</si>
  <si>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</si>
  <si>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</si>
  <si>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</si>
  <si>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</si>
  <si>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</si>
  <si>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</si>
  <si>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</si>
  <si>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</si>
  <si>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</si>
  <si>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</si>
  <si>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</si>
  <si>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</si>
  <si>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</si>
  <si>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</si>
  <si>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</si>
  <si>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</si>
  <si>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</si>
  <si>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</si>
  <si>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</si>
  <si>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</si>
  <si>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</si>
  <si>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</si>
  <si>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</si>
  <si>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</si>
  <si>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</si>
  <si>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</si>
  <si>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</si>
  <si>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</si>
  <si>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</si>
  <si>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</si>
  <si>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</si>
  <si>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</si>
  <si>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</si>
  <si>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</si>
  <si>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</si>
  <si>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</si>
  <si>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</si>
  <si>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</si>
  <si>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</si>
  <si>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</si>
  <si>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</si>
  <si>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</si>
  <si>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</si>
  <si>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</si>
  <si>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</si>
  <si>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</si>
  <si>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</si>
  <si>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</si>
  <si>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</si>
  <si>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</si>
  <si>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</si>
  <si>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</si>
  <si>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</si>
  <si>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</si>
  <si>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</si>
  <si>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</si>
  <si>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</si>
  <si>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</si>
  <si>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</si>
  <si>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</si>
  <si>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</si>
  <si>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</si>
  <si>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</si>
  <si>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</si>
  <si>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</si>
  <si>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</si>
  <si>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</si>
  <si>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</si>
  <si>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</si>
  <si>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</si>
  <si>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</si>
  <si>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</si>
  <si>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</si>
  <si>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</si>
  <si>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</si>
  <si>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</si>
  <si>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</si>
  <si>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</si>
  <si>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</si>
  <si>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</si>
  <si>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</si>
  <si>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</si>
  <si>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</si>
  <si>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</si>
  <si>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</si>
  <si>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Eric A St Clair DOE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</si>
  <si>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</si>
  <si>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</si>
  <si>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</si>
  <si>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</si>
  <si>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</si>
  <si>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</si>
  <si>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</si>
  <si>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t>Mirela Jusic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</si>
  <si>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</si>
  <si>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139186 14000</t>
  </si>
  <si>
    <t>Davis L Eidahl</t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</si>
  <si>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history &amp; background checks &amp; DIA services.</t>
    </r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</si>
  <si>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</si>
  <si>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</si>
  <si>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</si>
  <si>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</si>
  <si>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</si>
  <si>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</si>
  <si>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</si>
  <si>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</si>
  <si>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</si>
  <si>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</si>
  <si>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</si>
  <si>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</si>
  <si>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</si>
  <si>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</si>
  <si>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</si>
  <si>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</si>
  <si>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</si>
  <si>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</si>
  <si>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</si>
  <si>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</si>
  <si>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</si>
  <si>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</si>
  <si>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</si>
  <si>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</si>
  <si>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</si>
  <si>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</si>
  <si>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</si>
  <si>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</si>
  <si>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</si>
  <si>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</si>
  <si>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</si>
  <si>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</si>
  <si>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</si>
  <si>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</si>
  <si>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</si>
  <si>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</si>
  <si>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</si>
  <si>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</si>
  <si>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</si>
  <si>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</si>
  <si>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</si>
  <si>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</si>
  <si>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</si>
  <si>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</si>
  <si>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</si>
  <si>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</si>
  <si>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</si>
  <si>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May, will pay next year's National Association of State Directors membership (approx. $6,000).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</si>
  <si>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</si>
  <si>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</si>
  <si>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</si>
  <si>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</si>
  <si>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</si>
  <si>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</si>
  <si>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</si>
  <si>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now paid by DE.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</si>
  <si>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</si>
  <si>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</si>
  <si>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Final Y-E Cash Carry Forward to FY2025 completed in August.</t>
  </si>
  <si>
    <t>For Fiscal 2025, Novemeber and May are "3 Payroll" months.</t>
  </si>
  <si>
    <t>shantel.billington1@iowa.gov</t>
  </si>
  <si>
    <t>515-661-7066</t>
  </si>
  <si>
    <t>FY2024 GAAP Package completed September 6.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</si>
  <si>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days. Based on timing, the 3 withdrawals happened in October.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</si>
  <si>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dates</t>
    </r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</si>
  <si>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</si>
  <si>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</si>
  <si>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</si>
  <si>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Jennifer Sammons</t>
  </si>
  <si>
    <t>Balance Forward (carry over)</t>
  </si>
  <si>
    <t>Paige Thorson</t>
  </si>
  <si>
    <t>Michael Pyevich</t>
  </si>
  <si>
    <t>Shantel Billington</t>
  </si>
  <si>
    <t>Matthew Barron</t>
  </si>
  <si>
    <t>Period 9- March 2025</t>
  </si>
  <si>
    <t>139189  14000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</si>
</sst>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3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3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4" fillId="0" borderId="0" xfId="0" applyFont="1"/>
    <xf numFmtId="49" fontId="45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6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7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0" fontId="22" fillId="0" borderId="4" xfId="0" applyFont="1" applyFill="1" applyBorder="1"/>
    <xf numFmtId="0" fontId="42" fillId="0" borderId="2" xfId="0" applyFont="1" applyFill="1" applyBorder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103017.75</c:v>
                </c:pt>
                <c:pt idx="6">
                  <c:v>149394.75</c:v>
                </c:pt>
                <c:pt idx="7">
                  <c:v>123095.25</c:v>
                </c:pt>
                <c:pt idx="8">
                  <c:v>120010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38325</c:v>
                </c:pt>
                <c:pt idx="6">
                  <c:v>58435</c:v>
                </c:pt>
                <c:pt idx="7">
                  <c:v>45595</c:v>
                </c:pt>
                <c:pt idx="8">
                  <c:v>41883.75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1310555.73</c:v>
                </c:pt>
                <c:pt idx="1">
                  <c:v>7355.9900000000007</c:v>
                </c:pt>
                <c:pt idx="2">
                  <c:v>1275.5899999999999</c:v>
                </c:pt>
                <c:pt idx="3">
                  <c:v>2140.62</c:v>
                </c:pt>
                <c:pt idx="4">
                  <c:v>0</c:v>
                </c:pt>
                <c:pt idx="5">
                  <c:v>0</c:v>
                </c:pt>
                <c:pt idx="6">
                  <c:v>160</c:v>
                </c:pt>
                <c:pt idx="7">
                  <c:v>0</c:v>
                </c:pt>
                <c:pt idx="8">
                  <c:v>3478.0000000000005</c:v>
                </c:pt>
                <c:pt idx="9">
                  <c:v>12397.36</c:v>
                </c:pt>
                <c:pt idx="10">
                  <c:v>36750</c:v>
                </c:pt>
                <c:pt idx="11">
                  <c:v>1885.6699999999998</c:v>
                </c:pt>
                <c:pt idx="12">
                  <c:v>2345.4</c:v>
                </c:pt>
                <c:pt idx="13">
                  <c:v>3206.93</c:v>
                </c:pt>
                <c:pt idx="14">
                  <c:v>0</c:v>
                </c:pt>
                <c:pt idx="15">
                  <c:v>211.89999999999998</c:v>
                </c:pt>
                <c:pt idx="16">
                  <c:v>7053.4499999999989</c:v>
                </c:pt>
                <c:pt idx="17">
                  <c:v>200381.53</c:v>
                </c:pt>
                <c:pt idx="18">
                  <c:v>0</c:v>
                </c:pt>
                <c:pt idx="19">
                  <c:v>88085.079999999987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21494.880000000001</c:v>
                </c:pt>
                <c:pt idx="24">
                  <c:v>22649.870000000003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30245250229997489"/>
          <c:y val="1.6186769832895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-7.5593371814245774E-2"/>
                  <c:y val="-0.109473711656870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2.3986407202363478E-2"/>
                  <c:y val="-7.50219721376759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ITD Reimbursements</c:v>
                </c:pt>
                <c:pt idx="2">
                  <c:v>Gov Transfer Other Agencies</c:v>
                </c:pt>
                <c:pt idx="3">
                  <c:v>Rentals</c:v>
                </c:pt>
                <c:pt idx="4">
                  <c:v>Other Expenses &amp; Obligations</c:v>
                </c:pt>
                <c:pt idx="5">
                  <c:v>IT Equipment &amp; Software</c:v>
                </c:pt>
                <c:pt idx="6">
                  <c:v>Communications</c:v>
                </c:pt>
                <c:pt idx="7">
                  <c:v>In State Travel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1310555.73</c:v>
                </c:pt>
                <c:pt idx="1">
                  <c:v>200381.53</c:v>
                </c:pt>
                <c:pt idx="2">
                  <c:v>88085.079999999987</c:v>
                </c:pt>
                <c:pt idx="3">
                  <c:v>36750</c:v>
                </c:pt>
                <c:pt idx="4">
                  <c:v>22649.870000000003</c:v>
                </c:pt>
                <c:pt idx="5">
                  <c:v>21494.880000000001</c:v>
                </c:pt>
                <c:pt idx="6">
                  <c:v>12397.36</c:v>
                </c:pt>
                <c:pt idx="7">
                  <c:v>7355.9900000000007</c:v>
                </c:pt>
                <c:pt idx="8">
                  <c:v>21877.559999999823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03926018112111"/>
          <c:y val="5.4877878159249986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6"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6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zoomScale="90" zoomScaleNormal="90" zoomScaleSheetLayoutView="100" workbookViewId="0"/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293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250</v>
      </c>
    </row>
    <row r="5" spans="1:16" ht="15.75" x14ac:dyDescent="0.2">
      <c r="A5" s="27" t="s">
        <v>87</v>
      </c>
      <c r="B5" s="27" t="s">
        <v>288</v>
      </c>
    </row>
    <row r="6" spans="1:16" ht="15.75" x14ac:dyDescent="0.2">
      <c r="A6" s="27"/>
      <c r="B6" s="27"/>
    </row>
    <row r="7" spans="1:16" ht="15.75" x14ac:dyDescent="0.2">
      <c r="A7" s="27" t="s">
        <v>88</v>
      </c>
      <c r="B7" s="372" t="s">
        <v>365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7">
        <v>45748</v>
      </c>
      <c r="C9" s="417"/>
    </row>
    <row r="10" spans="1:16" x14ac:dyDescent="0.2">
      <c r="A10" s="26"/>
    </row>
    <row r="11" spans="1:16" ht="18.75" x14ac:dyDescent="0.2">
      <c r="A11" s="27" t="s">
        <v>90</v>
      </c>
      <c r="B11" s="28" t="s">
        <v>326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367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232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219</v>
      </c>
      <c r="C19" s="88"/>
      <c r="D19" s="410">
        <f>'9397 BOEE'!O53</f>
        <v>1485220.6899999997</v>
      </c>
      <c r="F19" s="410">
        <f>-'9397 BOEE'!T9</f>
        <v>1500000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1">
        <f>SUM(D19:D19)</f>
        <v>1485220.6899999997</v>
      </c>
      <c r="E20" s="412"/>
      <c r="F20" s="411">
        <f>SUM(F19:F19)</f>
        <v>1500000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351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355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8" t="s">
        <v>108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8" t="s">
        <v>91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8" t="s">
        <v>92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</row>
    <row r="43" spans="1:31" s="40" customFormat="1" ht="15" customHeight="1" x14ac:dyDescent="0.2">
      <c r="A43" s="419" t="s">
        <v>104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</row>
    <row r="44" spans="1:31" s="40" customFormat="1" ht="15" customHeight="1" x14ac:dyDescent="0.2">
      <c r="A44" s="420" t="s">
        <v>352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  <row r="47" spans="1:31" ht="18" customHeight="1" x14ac:dyDescent="0.2">
      <c r="A47" s="418" t="s">
        <v>93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</row>
    <row r="48" spans="1:31" ht="15" x14ac:dyDescent="0.2">
      <c r="A48" s="14"/>
      <c r="B48" s="413" t="s">
        <v>353</v>
      </c>
      <c r="C48" s="14"/>
      <c r="D48" s="414" t="s">
        <v>354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137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138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103017.75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149394.75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123095.25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120010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0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1216395.25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38325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58435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45595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41883.75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415565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141342.75</v>
      </c>
      <c r="J17" s="101">
        <f t="shared" si="7"/>
        <v>207829.75</v>
      </c>
      <c r="K17" s="101">
        <f t="shared" si="7"/>
        <v>168690.25</v>
      </c>
      <c r="L17" s="101">
        <f t="shared" si="7"/>
        <v>161893.75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0</v>
      </c>
      <c r="Q17" s="101">
        <f t="shared" si="7"/>
        <v>0</v>
      </c>
      <c r="R17" s="101">
        <f t="shared" si="7"/>
        <v>0</v>
      </c>
      <c r="S17" s="101">
        <f t="shared" si="7"/>
        <v>1632059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146695.51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147108.82999999999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143544.82999999999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147154.97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72117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1310555.73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873.5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1433.19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793.7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391.5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0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0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7355.9900000000007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139</v>
      </c>
      <c r="B22" s="57" t="s">
        <v>140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889.91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1275.5899999999999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306.33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1118.26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2140.62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141</v>
      </c>
      <c r="B26" s="57" t="s">
        <v>142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40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120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160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410.07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485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275.67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232.8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0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3478.0000000000005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1384.34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1702.07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894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2645.48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0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12397.36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5250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10500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36750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322.95999999999998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161.47999999999999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161.47999999999999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2345.4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57.6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835.36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639.87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10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0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3206.93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110.05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211.89999999999998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297.14999999999998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1244.82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286.57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283.07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0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7053.4499999999989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1966.04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1876.78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2072.54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2177.58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0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200381.53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143</v>
      </c>
      <c r="B39" s="57" t="s">
        <v>144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0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0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19340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30922.57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0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88085.079999999987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146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145</v>
      </c>
      <c r="B44" s="57" t="s">
        <v>147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148</v>
      </c>
      <c r="B46" s="193" t="s">
        <v>149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21199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21494.880000000001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2952.25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2564.6999999999998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2228.79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3576.54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0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22649.870000000003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120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120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159886.46000000002</v>
      </c>
      <c r="J50" s="101">
        <f t="shared" si="25"/>
        <v>208762.75999999998</v>
      </c>
      <c r="K50" s="101">
        <f t="shared" si="25"/>
        <v>187496.35000000003</v>
      </c>
      <c r="L50" s="101">
        <f t="shared" si="25"/>
        <v>158761.59000000003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77367</v>
      </c>
      <c r="Q50" s="101">
        <f t="shared" si="25"/>
        <v>0</v>
      </c>
      <c r="R50" s="101">
        <f t="shared" si="25"/>
        <v>0</v>
      </c>
      <c r="S50" s="101">
        <f t="shared" si="25"/>
        <v>1719662.33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-18543.710000000021</v>
      </c>
      <c r="J52" s="101">
        <f t="shared" si="26"/>
        <v>-933.00999999998021</v>
      </c>
      <c r="K52" s="101">
        <f t="shared" si="26"/>
        <v>-18806.100000000035</v>
      </c>
      <c r="L52" s="101">
        <f t="shared" si="26"/>
        <v>3132.1599999999744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-77367</v>
      </c>
      <c r="Q52" s="101">
        <f t="shared" si="26"/>
        <v>0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29003.619999999908</v>
      </c>
      <c r="J53" s="130">
        <f t="shared" si="27"/>
        <v>28070.609999999928</v>
      </c>
      <c r="K53" s="130">
        <f t="shared" ref="K53" si="28">J53+K52</f>
        <v>9264.5099999998929</v>
      </c>
      <c r="L53" s="130">
        <f t="shared" ref="L53" si="29">K53+L52</f>
        <v>12396.669999999867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135</v>
      </c>
      <c r="C2" s="47"/>
      <c r="D2" s="48"/>
      <c r="E2" s="48"/>
      <c r="F2" s="48"/>
      <c r="G2" s="48"/>
      <c r="H2" s="48"/>
      <c r="I2" s="48"/>
      <c r="J2" s="133" t="s">
        <v>328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325</v>
      </c>
      <c r="V2" s="67" t="s">
        <v>349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0.75</v>
      </c>
      <c r="W3" s="48"/>
    </row>
    <row r="4" spans="1:28" s="1" customFormat="1" ht="18" customHeight="1" x14ac:dyDescent="0.25">
      <c r="A4" s="47" t="s">
        <v>9</v>
      </c>
      <c r="B4" s="47" t="s">
        <v>294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327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332</v>
      </c>
      <c r="U6" s="53" t="s">
        <v>333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198</v>
      </c>
      <c r="C8" s="194"/>
      <c r="D8" s="382">
        <v>100000</v>
      </c>
      <c r="E8" s="382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239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-100000</v>
      </c>
      <c r="Q9" s="60">
        <v>-1400000</v>
      </c>
      <c r="R9" s="195"/>
      <c r="S9" s="198">
        <f>SUMIF($D$6:$R$6,$X$2,D9:R9)</f>
        <v>0</v>
      </c>
      <c r="T9" s="70">
        <f>SUM(D9:R9)</f>
        <v>-1500000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138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103017.75</v>
      </c>
      <c r="J12" s="70">
        <v>149394.75</v>
      </c>
      <c r="K12" s="70">
        <v>123095.25</v>
      </c>
      <c r="L12" s="70">
        <v>120010</v>
      </c>
      <c r="M12" s="70">
        <v>139000</v>
      </c>
      <c r="N12" s="70">
        <v>201000</v>
      </c>
      <c r="O12" s="70">
        <v>118000</v>
      </c>
      <c r="P12" s="70">
        <v>0</v>
      </c>
      <c r="Q12" s="70">
        <v>0</v>
      </c>
      <c r="R12" s="198">
        <v>0</v>
      </c>
      <c r="S12" s="198">
        <f>SUMIF($D$6:$R$6,$X$2,D12:R12)</f>
        <v>1216395.25</v>
      </c>
      <c r="T12" s="70">
        <f>SUM(D12:R12)</f>
        <v>1674395.25</v>
      </c>
      <c r="U12" s="70">
        <v>1800000</v>
      </c>
      <c r="V12" s="199">
        <f>IF(U12=0,0,SUMIF($D$6:$R$6,$X$2,D12:R12)/U12)</f>
        <v>0.67577513888888885</v>
      </c>
      <c r="W12" s="199">
        <f>IF(U12=0,0,T12/U12)</f>
        <v>0.93021958333333332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38325</v>
      </c>
      <c r="J14" s="70">
        <v>58435</v>
      </c>
      <c r="K14" s="70">
        <v>45595</v>
      </c>
      <c r="L14" s="70">
        <v>41883.75</v>
      </c>
      <c r="M14" s="70">
        <v>49000</v>
      </c>
      <c r="N14" s="70">
        <v>55000</v>
      </c>
      <c r="O14" s="70">
        <v>50500</v>
      </c>
      <c r="P14" s="70">
        <v>0</v>
      </c>
      <c r="Q14" s="70">
        <v>0</v>
      </c>
      <c r="R14" s="198">
        <v>0</v>
      </c>
      <c r="S14" s="198">
        <f>SUMIF($D$6:$R$6,$X$2,D14:R14)</f>
        <v>415565</v>
      </c>
      <c r="T14" s="70">
        <f>SUM(D14:R14)</f>
        <v>570065</v>
      </c>
      <c r="U14" s="70">
        <v>590000</v>
      </c>
      <c r="V14" s="199">
        <f>IF(U14=0,0,SUMIF($D$6:$R$6,$X$2,D14:R14)/U14)</f>
        <v>0.70434745762711859</v>
      </c>
      <c r="W14" s="199">
        <f>IF(U14=0,0,T14/U14)</f>
        <v>0.96621186440677964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1">
        <f>SUM(D8:D15)</f>
        <v>324016.75</v>
      </c>
      <c r="E16" s="381">
        <f t="shared" ref="E16:O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141342.75</v>
      </c>
      <c r="J16" s="91">
        <f t="shared" si="0"/>
        <v>207829.75</v>
      </c>
      <c r="K16" s="91">
        <f t="shared" si="0"/>
        <v>168690.25</v>
      </c>
      <c r="L16" s="91">
        <f t="shared" si="0"/>
        <v>161893.75</v>
      </c>
      <c r="M16" s="91">
        <f t="shared" si="0"/>
        <v>188000</v>
      </c>
      <c r="N16" s="91">
        <f t="shared" si="0"/>
        <v>256000</v>
      </c>
      <c r="O16" s="91">
        <f t="shared" si="0"/>
        <v>168500</v>
      </c>
      <c r="P16" s="91">
        <v>-100000</v>
      </c>
      <c r="Q16" s="91">
        <v>-1400000</v>
      </c>
      <c r="R16" s="201">
        <f>SUM(R8:R15)</f>
        <v>0</v>
      </c>
      <c r="S16" s="201">
        <f t="shared" ref="S16:U16" si="1">SUM(S8:S15)</f>
        <v>3136210.69</v>
      </c>
      <c r="T16" s="91">
        <f t="shared" si="1"/>
        <v>2248710.69</v>
      </c>
      <c r="U16" s="91">
        <f t="shared" si="1"/>
        <v>2868462</v>
      </c>
      <c r="V16" s="202">
        <f>SUMIF($D$6:$R$6,$X$2,D16:R16)/U16</f>
        <v>1.0933422475180079</v>
      </c>
      <c r="W16" s="202">
        <f>T16/U16</f>
        <v>0.78394299453853666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146695.51</v>
      </c>
      <c r="J19" s="70">
        <v>147108.82999999999</v>
      </c>
      <c r="K19" s="70">
        <v>143544.82999999999</v>
      </c>
      <c r="L19" s="70">
        <v>147154.97</v>
      </c>
      <c r="M19" s="70">
        <v>147126</v>
      </c>
      <c r="N19" s="70">
        <v>220690</v>
      </c>
      <c r="O19" s="70">
        <v>147126</v>
      </c>
      <c r="P19" s="70">
        <v>72117</v>
      </c>
      <c r="Q19" s="70">
        <f>'Fcst by Job Class'!S21</f>
        <v>0</v>
      </c>
      <c r="R19" s="198">
        <v>0</v>
      </c>
      <c r="S19" s="198">
        <f t="shared" ref="S19:S42" si="2">SUMIF($D$6:$R$6,$X$2,D19:R19)</f>
        <v>1310555.73</v>
      </c>
      <c r="T19" s="70">
        <f t="shared" ref="T19:T42" si="3">SUM(D19:R19)</f>
        <v>1897614.73</v>
      </c>
      <c r="U19" s="70">
        <v>1912643</v>
      </c>
      <c r="V19" s="199">
        <f>IF(U19=0,0,SUMIF($D$6:$R$6,$X$2,D19:R19)/U19)</f>
        <v>0.68520666428601673</v>
      </c>
      <c r="W19" s="199">
        <f>IF(U19=0,0,T19/U19)</f>
        <v>0.99214266854818178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873.5</v>
      </c>
      <c r="J20" s="198">
        <v>1433.19</v>
      </c>
      <c r="K20" s="198">
        <v>793.7</v>
      </c>
      <c r="L20" s="70">
        <v>391.5</v>
      </c>
      <c r="M20" s="70">
        <v>0</v>
      </c>
      <c r="N20" s="70">
        <v>0</v>
      </c>
      <c r="O20" s="70">
        <v>0</v>
      </c>
      <c r="P20" s="70">
        <v>0</v>
      </c>
      <c r="Q20" s="198">
        <v>0</v>
      </c>
      <c r="R20" s="198">
        <v>0</v>
      </c>
      <c r="S20" s="198">
        <f t="shared" si="2"/>
        <v>7355.9900000000007</v>
      </c>
      <c r="T20" s="70">
        <f t="shared" si="3"/>
        <v>7355.9900000000007</v>
      </c>
      <c r="U20" s="198">
        <v>21000</v>
      </c>
      <c r="V20" s="199">
        <f t="shared" ref="V20:V42" si="4">IF(U20=0,0,SUMIF($D$6:$R$6,$X$2,D20:R20)/U20)</f>
        <v>0.35028523809523815</v>
      </c>
      <c r="W20" s="199">
        <f t="shared" ref="W20:W42" si="5">IF(U20=0,0,T20/U20)</f>
        <v>0.35028523809523815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889.91</v>
      </c>
      <c r="M21" s="70">
        <v>0</v>
      </c>
      <c r="N21" s="70">
        <v>0</v>
      </c>
      <c r="O21" s="70">
        <v>0</v>
      </c>
      <c r="P21" s="70">
        <v>0</v>
      </c>
      <c r="Q21" s="198">
        <v>0</v>
      </c>
      <c r="R21" s="198">
        <v>0</v>
      </c>
      <c r="S21" s="198">
        <f t="shared" ref="S21" si="6">SUMIF($D$6:$R$6,$X$2,D21:R21)</f>
        <v>1275.5899999999999</v>
      </c>
      <c r="T21" s="70">
        <f t="shared" ref="T21" si="7">SUM(D21:R21)</f>
        <v>1275.5899999999999</v>
      </c>
      <c r="U21" s="198">
        <v>20000</v>
      </c>
      <c r="V21" s="199">
        <f t="shared" ref="V21" si="8">IF(U21=0,0,SUMIF($D$6:$R$6,$X$2,D21:R21)/U21)</f>
        <v>6.3779499999999989E-2</v>
      </c>
      <c r="W21" s="199">
        <f t="shared" ref="W21" si="9">IF(U21=0,0,T21/U21)</f>
        <v>6.3779499999999989E-2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306.33</v>
      </c>
      <c r="L22" s="70">
        <v>1118.26</v>
      </c>
      <c r="M22" s="70">
        <v>0</v>
      </c>
      <c r="N22" s="70">
        <v>6000</v>
      </c>
      <c r="O22" s="70">
        <v>0</v>
      </c>
      <c r="P22" s="70">
        <v>0</v>
      </c>
      <c r="Q22" s="198">
        <v>0</v>
      </c>
      <c r="R22" s="198">
        <v>0</v>
      </c>
      <c r="S22" s="198">
        <f t="shared" si="2"/>
        <v>2140.62</v>
      </c>
      <c r="T22" s="70">
        <f t="shared" si="3"/>
        <v>8140.62</v>
      </c>
      <c r="U22" s="198">
        <v>10500</v>
      </c>
      <c r="V22" s="199">
        <f t="shared" si="4"/>
        <v>0.20386857142857143</v>
      </c>
      <c r="W22" s="199">
        <f t="shared" si="5"/>
        <v>0.7752971428571428</v>
      </c>
      <c r="X22" s="206"/>
      <c r="Y22" s="317"/>
    </row>
    <row r="23" spans="1:28" s="14" customFormat="1" x14ac:dyDescent="0.2">
      <c r="A23" s="193" t="s">
        <v>234</v>
      </c>
      <c r="B23" s="193" t="s">
        <v>235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40</v>
      </c>
      <c r="K25" s="198">
        <v>120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198">
        <v>0</v>
      </c>
      <c r="R25" s="198">
        <v>0</v>
      </c>
      <c r="S25" s="198">
        <f t="shared" si="2"/>
        <v>160</v>
      </c>
      <c r="T25" s="70">
        <f t="shared" si="3"/>
        <v>160</v>
      </c>
      <c r="U25" s="198">
        <v>3500</v>
      </c>
      <c r="V25" s="199">
        <f t="shared" si="4"/>
        <v>4.5714285714285714E-2</v>
      </c>
      <c r="W25" s="199">
        <f t="shared" si="5"/>
        <v>4.5714285714285714E-2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410.07</v>
      </c>
      <c r="J27" s="198">
        <v>485</v>
      </c>
      <c r="K27" s="198">
        <v>275.67</v>
      </c>
      <c r="L27" s="70">
        <v>232.8</v>
      </c>
      <c r="M27" s="70">
        <v>0</v>
      </c>
      <c r="N27" s="70">
        <v>0</v>
      </c>
      <c r="O27" s="70">
        <v>0</v>
      </c>
      <c r="P27" s="70">
        <v>0</v>
      </c>
      <c r="Q27" s="198">
        <v>0</v>
      </c>
      <c r="R27" s="198">
        <v>0</v>
      </c>
      <c r="S27" s="198">
        <f t="shared" si="2"/>
        <v>3478.0000000000005</v>
      </c>
      <c r="T27" s="70">
        <f t="shared" si="3"/>
        <v>3478.0000000000005</v>
      </c>
      <c r="U27" s="198">
        <v>12500</v>
      </c>
      <c r="V27" s="199">
        <f t="shared" si="4"/>
        <v>0.27824000000000004</v>
      </c>
      <c r="W27" s="199">
        <f t="shared" si="5"/>
        <v>0.27824000000000004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1384.34</v>
      </c>
      <c r="J28" s="70">
        <v>1702.07</v>
      </c>
      <c r="K28" s="70">
        <v>894</v>
      </c>
      <c r="L28" s="70">
        <v>2645.48</v>
      </c>
      <c r="M28" s="70">
        <v>0</v>
      </c>
      <c r="N28" s="70">
        <v>0</v>
      </c>
      <c r="O28" s="70">
        <v>0</v>
      </c>
      <c r="P28" s="70">
        <v>0</v>
      </c>
      <c r="Q28" s="198">
        <v>0</v>
      </c>
      <c r="R28" s="198">
        <v>0</v>
      </c>
      <c r="S28" s="198">
        <f t="shared" si="2"/>
        <v>12397.36</v>
      </c>
      <c r="T28" s="70">
        <f t="shared" si="3"/>
        <v>12397.36</v>
      </c>
      <c r="U28" s="198">
        <v>20000.11</v>
      </c>
      <c r="V28" s="199">
        <f t="shared" si="4"/>
        <v>0.61986459074475087</v>
      </c>
      <c r="W28" s="199">
        <f t="shared" si="5"/>
        <v>0.61986459074475087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5250</v>
      </c>
      <c r="J29" s="70">
        <v>10500</v>
      </c>
      <c r="K29" s="70">
        <v>5250</v>
      </c>
      <c r="L29" s="70">
        <v>0</v>
      </c>
      <c r="M29" s="70">
        <v>10500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36750</v>
      </c>
      <c r="T29" s="70">
        <f t="shared" si="3"/>
        <v>63000</v>
      </c>
      <c r="U29" s="198">
        <v>71500</v>
      </c>
      <c r="V29" s="199">
        <f t="shared" si="4"/>
        <v>0.51398601398601396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237</v>
      </c>
      <c r="B30" s="193" t="s">
        <v>238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175.92</v>
      </c>
      <c r="J30" s="70">
        <v>294.02</v>
      </c>
      <c r="K30" s="70">
        <v>384</v>
      </c>
      <c r="L30" s="70">
        <v>337.18</v>
      </c>
      <c r="M30" s="70">
        <v>0</v>
      </c>
      <c r="N30" s="70">
        <v>0</v>
      </c>
      <c r="O30" s="70">
        <v>0</v>
      </c>
      <c r="P30" s="70">
        <v>0</v>
      </c>
      <c r="Q30" s="198">
        <v>0</v>
      </c>
      <c r="R30" s="198"/>
      <c r="S30" s="198">
        <f t="shared" ref="S30" si="18">SUMIF($D$6:$R$6,$X$2,D30:R30)</f>
        <v>1885.6699999999998</v>
      </c>
      <c r="T30" s="70">
        <f t="shared" ref="T30" si="19">SUM(D30:R30)</f>
        <v>1885.6699999999998</v>
      </c>
      <c r="U30" s="198">
        <v>4000.25</v>
      </c>
      <c r="V30" s="199">
        <f t="shared" ref="V30" si="20">IF(U30=0,0,SUMIF($D$6:$R$6,$X$2,D30:R30)/U30)</f>
        <v>0.4713880382476095</v>
      </c>
      <c r="W30" s="199">
        <f t="shared" ref="W30" si="21">IF(U30=0,0,T30/U30)</f>
        <v>0.4713880382476095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322.95999999999998</v>
      </c>
      <c r="K31" s="70">
        <v>161.47999999999999</v>
      </c>
      <c r="L31" s="70">
        <v>161.47999999999999</v>
      </c>
      <c r="M31" s="70">
        <v>0</v>
      </c>
      <c r="N31" s="70">
        <v>0</v>
      </c>
      <c r="O31" s="70">
        <v>0</v>
      </c>
      <c r="P31" s="70">
        <v>0</v>
      </c>
      <c r="Q31" s="198">
        <v>0</v>
      </c>
      <c r="R31" s="198">
        <v>0</v>
      </c>
      <c r="S31" s="198">
        <f t="shared" si="2"/>
        <v>2345.4</v>
      </c>
      <c r="T31" s="70">
        <f t="shared" si="3"/>
        <v>2345.4</v>
      </c>
      <c r="U31" s="198">
        <v>5000</v>
      </c>
      <c r="V31" s="199">
        <f t="shared" si="4"/>
        <v>0.46908</v>
      </c>
      <c r="W31" s="199">
        <f t="shared" si="5"/>
        <v>0.46908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57.6</v>
      </c>
      <c r="J32" s="70">
        <v>835.36</v>
      </c>
      <c r="K32" s="70">
        <v>639.87</v>
      </c>
      <c r="L32" s="70">
        <v>10</v>
      </c>
      <c r="M32" s="70">
        <v>0</v>
      </c>
      <c r="N32" s="70">
        <v>0</v>
      </c>
      <c r="O32" s="70">
        <v>0</v>
      </c>
      <c r="P32" s="70">
        <v>0</v>
      </c>
      <c r="Q32" s="198">
        <v>0</v>
      </c>
      <c r="R32" s="198">
        <v>0</v>
      </c>
      <c r="S32" s="198">
        <f t="shared" si="2"/>
        <v>3206.93</v>
      </c>
      <c r="T32" s="70">
        <f t="shared" si="3"/>
        <v>3206.93</v>
      </c>
      <c r="U32" s="198">
        <v>6000</v>
      </c>
      <c r="V32" s="199">
        <f t="shared" si="4"/>
        <v>0.53448833333333334</v>
      </c>
      <c r="W32" s="199">
        <f t="shared" si="5"/>
        <v>0.53448833333333334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110.05</v>
      </c>
      <c r="K34" s="198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198">
        <v>0</v>
      </c>
      <c r="R34" s="198">
        <v>0</v>
      </c>
      <c r="S34" s="198">
        <f t="shared" si="2"/>
        <v>211.89999999999998</v>
      </c>
      <c r="T34" s="70">
        <f t="shared" si="3"/>
        <v>211.89999999999998</v>
      </c>
      <c r="U34" s="198">
        <v>1000</v>
      </c>
      <c r="V34" s="199">
        <f t="shared" si="4"/>
        <v>0.21189999999999998</v>
      </c>
      <c r="W34" s="199">
        <f t="shared" si="5"/>
        <v>0.21189999999999998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297.14999999999998</v>
      </c>
      <c r="J35" s="70">
        <v>1244.82</v>
      </c>
      <c r="K35" s="70">
        <v>286.57</v>
      </c>
      <c r="L35" s="70">
        <v>283.07</v>
      </c>
      <c r="M35" s="70">
        <v>0</v>
      </c>
      <c r="N35" s="70">
        <v>0</v>
      </c>
      <c r="O35" s="70">
        <v>0</v>
      </c>
      <c r="P35" s="70">
        <v>0</v>
      </c>
      <c r="Q35" s="198">
        <v>0</v>
      </c>
      <c r="R35" s="198">
        <v>0</v>
      </c>
      <c r="S35" s="198">
        <f t="shared" si="2"/>
        <v>7053.4499999999989</v>
      </c>
      <c r="T35" s="70">
        <f t="shared" si="3"/>
        <v>7053.4499999999989</v>
      </c>
      <c r="U35" s="70">
        <v>8000</v>
      </c>
      <c r="V35" s="199">
        <f t="shared" si="4"/>
        <v>0.88168124999999986</v>
      </c>
      <c r="W35" s="199">
        <f t="shared" si="5"/>
        <v>0.88168124999999986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1966.04</v>
      </c>
      <c r="J36" s="70">
        <v>1876.78</v>
      </c>
      <c r="K36" s="70">
        <v>2072.54</v>
      </c>
      <c r="L36" s="70">
        <v>2177.58</v>
      </c>
      <c r="M36" s="70">
        <v>0</v>
      </c>
      <c r="N36" s="70">
        <v>0</v>
      </c>
      <c r="O36" s="70">
        <v>0</v>
      </c>
      <c r="P36" s="70">
        <v>0</v>
      </c>
      <c r="Q36" s="198">
        <v>0</v>
      </c>
      <c r="R36" s="198">
        <v>0</v>
      </c>
      <c r="S36" s="198">
        <f t="shared" si="2"/>
        <v>200381.53</v>
      </c>
      <c r="T36" s="70">
        <f t="shared" si="3"/>
        <v>200381.53</v>
      </c>
      <c r="U36" s="70">
        <v>210000</v>
      </c>
      <c r="V36" s="199">
        <f t="shared" si="4"/>
        <v>0.95419776190476191</v>
      </c>
      <c r="W36" s="199">
        <f t="shared" si="5"/>
        <v>0.95419776190476191</v>
      </c>
      <c r="X36" s="206"/>
      <c r="Y36" s="317"/>
    </row>
    <row r="37" spans="1:28" s="14" customFormat="1" x14ac:dyDescent="0.2">
      <c r="A37" s="57" t="s">
        <v>143</v>
      </c>
      <c r="B37" s="57" t="s">
        <v>144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198">
        <v>0</v>
      </c>
      <c r="R38" s="198">
        <v>0</v>
      </c>
      <c r="S38" s="198">
        <f t="shared" si="2"/>
        <v>0</v>
      </c>
      <c r="T38" s="70">
        <f t="shared" si="3"/>
        <v>0</v>
      </c>
      <c r="U38" s="70">
        <v>54000</v>
      </c>
      <c r="V38" s="199">
        <f t="shared" si="4"/>
        <v>0</v>
      </c>
      <c r="W38" s="199">
        <f t="shared" si="5"/>
        <v>0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19340</v>
      </c>
      <c r="K39" s="70">
        <v>30922.57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198">
        <v>0</v>
      </c>
      <c r="R39" s="198">
        <v>0</v>
      </c>
      <c r="S39" s="198">
        <f t="shared" si="2"/>
        <v>88085.079999999987</v>
      </c>
      <c r="T39" s="70">
        <f t="shared" si="3"/>
        <v>88085.079999999987</v>
      </c>
      <c r="U39" s="70">
        <v>320000</v>
      </c>
      <c r="V39" s="199">
        <f t="shared" si="4"/>
        <v>0.27526587499999994</v>
      </c>
      <c r="W39" s="199">
        <f t="shared" si="5"/>
        <v>0.27526587499999994</v>
      </c>
      <c r="X39" s="206"/>
      <c r="Y39" s="317"/>
    </row>
    <row r="40" spans="1:28" s="14" customFormat="1" x14ac:dyDescent="0.2">
      <c r="A40" s="193" t="s">
        <v>40</v>
      </c>
      <c r="B40" s="193" t="s">
        <v>146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145</v>
      </c>
      <c r="B41" s="320" t="s">
        <v>147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148</v>
      </c>
      <c r="B43" s="137" t="s">
        <v>149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21199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21494.880000000001</v>
      </c>
      <c r="T43" s="70">
        <f t="shared" ref="T43:T46" si="31">SUM(D43:R43)</f>
        <v>21494.880000000001</v>
      </c>
      <c r="U43" s="198">
        <v>32268</v>
      </c>
      <c r="V43" s="199">
        <f t="shared" ref="V43:V46" si="32">IF(U43=0,0,SUMIF($D$6:$R$6,$X$2,D43:R43)/U43)</f>
        <v>0.66613611007809603</v>
      </c>
      <c r="W43" s="199">
        <f t="shared" ref="W43:W46" si="33">IF(U43=0,0,T43/U43)</f>
        <v>0.66613611007809603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2952.25</v>
      </c>
      <c r="J44" s="70">
        <v>2564.6999999999998</v>
      </c>
      <c r="K44" s="70">
        <v>2228.79</v>
      </c>
      <c r="L44" s="70">
        <v>3576.54</v>
      </c>
      <c r="M44" s="70">
        <v>0</v>
      </c>
      <c r="N44" s="70">
        <v>0</v>
      </c>
      <c r="O44" s="70">
        <v>0</v>
      </c>
      <c r="P44" s="70">
        <v>0</v>
      </c>
      <c r="Q44" s="198">
        <v>0</v>
      </c>
      <c r="R44" s="198">
        <v>0</v>
      </c>
      <c r="S44" s="198">
        <f t="shared" si="30"/>
        <v>22649.870000000003</v>
      </c>
      <c r="T44" s="70">
        <f t="shared" si="31"/>
        <v>22649.870000000003</v>
      </c>
      <c r="U44" s="198">
        <v>42000</v>
      </c>
      <c r="V44" s="199">
        <f t="shared" si="32"/>
        <v>0.53928261904761909</v>
      </c>
      <c r="W44" s="199">
        <f t="shared" si="33"/>
        <v>0.53928261904761909</v>
      </c>
      <c r="X44" s="206"/>
      <c r="Y44" s="317"/>
    </row>
    <row r="45" spans="1:28" s="14" customFormat="1" x14ac:dyDescent="0.2">
      <c r="A45" s="320" t="s">
        <v>187</v>
      </c>
      <c r="B45" s="320" t="s">
        <v>188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120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120</v>
      </c>
      <c r="T46" s="70">
        <f t="shared" si="31"/>
        <v>120</v>
      </c>
      <c r="U46" s="198">
        <v>5000</v>
      </c>
      <c r="V46" s="199">
        <f t="shared" si="32"/>
        <v>2.4E-2</v>
      </c>
      <c r="W46" s="199">
        <f t="shared" si="33"/>
        <v>2.4E-2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160062.38000000003</v>
      </c>
      <c r="J48" s="201">
        <f t="shared" si="38"/>
        <v>209056.77999999997</v>
      </c>
      <c r="K48" s="201">
        <f t="shared" si="38"/>
        <v>187880.35000000003</v>
      </c>
      <c r="L48" s="201">
        <f t="shared" si="38"/>
        <v>159098.77000000002</v>
      </c>
      <c r="M48" s="201">
        <f t="shared" si="38"/>
        <v>157626</v>
      </c>
      <c r="N48" s="201">
        <f t="shared" si="38"/>
        <v>231940</v>
      </c>
      <c r="O48" s="201">
        <f t="shared" si="38"/>
        <v>152376</v>
      </c>
      <c r="P48" s="201">
        <f t="shared" si="38"/>
        <v>77367</v>
      </c>
      <c r="Q48" s="201">
        <f t="shared" si="38"/>
        <v>0</v>
      </c>
      <c r="R48" s="201">
        <f t="shared" si="38"/>
        <v>0</v>
      </c>
      <c r="S48" s="201">
        <f t="shared" si="38"/>
        <v>1721548</v>
      </c>
      <c r="T48" s="91">
        <f t="shared" si="38"/>
        <v>2340857</v>
      </c>
      <c r="U48" s="201">
        <f t="shared" si="38"/>
        <v>2785111.0300000003</v>
      </c>
      <c r="V48" s="202">
        <f>SUMIF($D$6:$R$6,$X$2,D48:R48)/U48</f>
        <v>0.61812544686952764</v>
      </c>
      <c r="W48" s="202">
        <f>T48/U48</f>
        <v>0.84048965186138369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3">
        <f t="shared" ref="D51:U51" si="39">D16-D48</f>
        <v>233835.78999999998</v>
      </c>
      <c r="E51" s="383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-18719.630000000034</v>
      </c>
      <c r="J51" s="201">
        <f t="shared" si="39"/>
        <v>-1227.0299999999697</v>
      </c>
      <c r="K51" s="201">
        <f t="shared" si="39"/>
        <v>-19190.100000000035</v>
      </c>
      <c r="L51" s="201">
        <f t="shared" si="39"/>
        <v>2794.9799999999814</v>
      </c>
      <c r="M51" s="201">
        <f t="shared" si="39"/>
        <v>30374</v>
      </c>
      <c r="N51" s="201">
        <f t="shared" si="39"/>
        <v>24060</v>
      </c>
      <c r="O51" s="201">
        <f t="shared" si="39"/>
        <v>16124</v>
      </c>
      <c r="P51" s="201">
        <f t="shared" si="39"/>
        <v>-177367</v>
      </c>
      <c r="Q51" s="201">
        <f t="shared" si="39"/>
        <v>-1400000</v>
      </c>
      <c r="R51" s="201">
        <f t="shared" si="39"/>
        <v>0</v>
      </c>
      <c r="S51" s="201">
        <f t="shared" si="39"/>
        <v>1414662.69</v>
      </c>
      <c r="T51" s="91">
        <f t="shared" si="39"/>
        <v>-92146.310000000056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312</v>
      </c>
      <c r="B52" s="200"/>
      <c r="C52" s="200"/>
      <c r="D52" s="383"/>
      <c r="E52" s="383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4">
        <f>D16-D48</f>
        <v>233835.78999999998</v>
      </c>
      <c r="E53" s="384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1432284.8399999999</v>
      </c>
      <c r="J53" s="210">
        <f>I53+J51-J52</f>
        <v>1431057.8099999998</v>
      </c>
      <c r="K53" s="210">
        <f t="shared" si="40"/>
        <v>1411867.7099999997</v>
      </c>
      <c r="L53" s="210">
        <f t="shared" si="40"/>
        <v>1414662.6899999997</v>
      </c>
      <c r="M53" s="210">
        <f t="shared" si="40"/>
        <v>1445036.6899999997</v>
      </c>
      <c r="N53" s="210">
        <f t="shared" si="40"/>
        <v>1469096.6899999997</v>
      </c>
      <c r="O53" s="210">
        <f t="shared" si="40"/>
        <v>1485220.6899999997</v>
      </c>
      <c r="P53" s="210">
        <f t="shared" si="40"/>
        <v>1307853.6899999997</v>
      </c>
      <c r="Q53" s="210">
        <f t="shared" si="40"/>
        <v>-92146.310000000289</v>
      </c>
      <c r="R53" s="210">
        <f t="shared" si="40"/>
        <v>-92146.310000000289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2" t="s">
        <v>302</v>
      </c>
      <c r="W55" s="350" t="s">
        <v>303</v>
      </c>
      <c r="X55" s="184"/>
      <c r="Y55" s="106"/>
      <c r="Z55" s="107"/>
      <c r="AA55" s="14"/>
      <c r="AB55" s="14"/>
    </row>
    <row r="56" spans="1:28" ht="18" x14ac:dyDescent="0.25">
      <c r="A56" s="298" t="s">
        <v>240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166</v>
      </c>
      <c r="N56" s="340"/>
      <c r="O56" s="166"/>
      <c r="P56" s="341" t="s">
        <v>265</v>
      </c>
      <c r="Q56" s="175" t="s">
        <v>129</v>
      </c>
      <c r="R56" s="342"/>
      <c r="S56" s="343"/>
      <c r="T56" s="78" t="s">
        <v>311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284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261</v>
      </c>
      <c r="M57" s="163" t="s">
        <v>304</v>
      </c>
      <c r="N57" s="238"/>
      <c r="O57" s="170"/>
      <c r="P57" s="341" t="s">
        <v>267</v>
      </c>
      <c r="Q57" s="176" t="s">
        <v>129</v>
      </c>
      <c r="R57" s="342"/>
      <c r="S57" s="343"/>
      <c r="T57" s="174" t="s">
        <v>153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262</v>
      </c>
      <c r="M58" s="163" t="s">
        <v>304</v>
      </c>
      <c r="N58" s="239"/>
      <c r="O58" s="170"/>
      <c r="P58" s="341" t="s">
        <v>263</v>
      </c>
      <c r="Q58" s="176" t="s">
        <v>129</v>
      </c>
      <c r="R58" s="342"/>
      <c r="S58" s="343"/>
      <c r="T58" s="163" t="s">
        <v>154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257</v>
      </c>
      <c r="M59" s="78" t="s">
        <v>323</v>
      </c>
      <c r="N59" s="366"/>
      <c r="O59" s="174"/>
      <c r="P59" s="341" t="s">
        <v>266</v>
      </c>
      <c r="Q59" s="176" t="s">
        <v>129</v>
      </c>
      <c r="R59" s="342"/>
      <c r="S59" s="343"/>
      <c r="T59" s="163" t="s">
        <v>287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356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260</v>
      </c>
      <c r="M60" s="78" t="s">
        <v>304</v>
      </c>
      <c r="N60" s="366"/>
      <c r="O60" s="174"/>
      <c r="P60" s="345" t="s">
        <v>264</v>
      </c>
      <c r="Q60" s="176" t="s">
        <v>156</v>
      </c>
      <c r="R60" s="342"/>
      <c r="S60" s="343"/>
      <c r="T60" s="174" t="s">
        <v>155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282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258</v>
      </c>
      <c r="M61" s="78" t="s">
        <v>165</v>
      </c>
      <c r="N61" s="366"/>
      <c r="O61" s="174"/>
      <c r="P61" s="346" t="s">
        <v>268</v>
      </c>
      <c r="Q61" s="176" t="s">
        <v>236</v>
      </c>
      <c r="R61" s="342"/>
      <c r="S61" s="343"/>
      <c r="T61" s="174" t="s">
        <v>242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340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256</v>
      </c>
      <c r="M62" s="78" t="s">
        <v>291</v>
      </c>
      <c r="N62" s="366"/>
      <c r="O62" s="217"/>
      <c r="P62" s="346" t="s">
        <v>313</v>
      </c>
      <c r="Q62" s="176" t="s">
        <v>300</v>
      </c>
      <c r="R62" s="342"/>
      <c r="S62" s="343"/>
      <c r="T62" s="368" t="s">
        <v>322</v>
      </c>
      <c r="U62" s="369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320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259</v>
      </c>
      <c r="M63" s="78" t="s">
        <v>255</v>
      </c>
      <c r="N63" s="367"/>
      <c r="O63" s="181"/>
      <c r="P63" s="331" t="s">
        <v>270</v>
      </c>
      <c r="Q63" s="175" t="s">
        <v>157</v>
      </c>
      <c r="R63" s="342"/>
      <c r="S63" s="343"/>
      <c r="T63" s="163" t="s">
        <v>310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334</v>
      </c>
      <c r="C64" s="77"/>
      <c r="D64" s="34"/>
      <c r="E64" s="34"/>
      <c r="F64" s="34"/>
      <c r="G64" s="34"/>
      <c r="H64" s="34"/>
      <c r="I64" s="34"/>
      <c r="J64" s="34"/>
      <c r="K64" s="323"/>
      <c r="L64" s="415" t="s">
        <v>368</v>
      </c>
      <c r="M64" s="78" t="s">
        <v>361</v>
      </c>
      <c r="N64" s="367"/>
      <c r="O64" s="181"/>
      <c r="P64" s="331" t="s">
        <v>271</v>
      </c>
      <c r="Q64" s="175" t="s">
        <v>157</v>
      </c>
      <c r="R64" s="342"/>
      <c r="S64" s="343"/>
      <c r="T64" s="163" t="s">
        <v>338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217</v>
      </c>
      <c r="C65" s="34"/>
      <c r="D65" s="77"/>
      <c r="E65" s="77"/>
      <c r="F65" s="77"/>
      <c r="G65" s="77"/>
      <c r="H65" s="77"/>
      <c r="I65" s="77"/>
      <c r="J65" s="77"/>
      <c r="K65" s="34"/>
      <c r="L65" s="415" t="s">
        <v>290</v>
      </c>
      <c r="M65" s="78" t="s">
        <v>245</v>
      </c>
      <c r="N65" s="367"/>
      <c r="O65" s="164"/>
      <c r="P65" s="331" t="s">
        <v>272</v>
      </c>
      <c r="Q65" s="175" t="s">
        <v>157</v>
      </c>
      <c r="R65" s="342"/>
      <c r="S65" s="343"/>
      <c r="T65" s="163" t="s">
        <v>337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289</v>
      </c>
      <c r="C66" s="34"/>
      <c r="D66" s="34"/>
      <c r="E66" s="34"/>
      <c r="F66" s="34"/>
      <c r="G66" s="34"/>
      <c r="H66" s="34"/>
      <c r="I66" s="34"/>
      <c r="J66" s="34"/>
      <c r="K66" s="323"/>
      <c r="L66" s="415">
        <v>14000</v>
      </c>
      <c r="M66" s="78" t="s">
        <v>363</v>
      </c>
      <c r="N66" s="366"/>
      <c r="O66" s="164"/>
      <c r="P66" s="331" t="s">
        <v>273</v>
      </c>
      <c r="Q66" s="175" t="s">
        <v>157</v>
      </c>
      <c r="R66" s="342"/>
      <c r="S66" s="343"/>
      <c r="T66" s="163" t="s">
        <v>159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348</v>
      </c>
      <c r="C67" s="34"/>
      <c r="D67" s="34"/>
      <c r="E67" s="34"/>
      <c r="F67" s="34"/>
      <c r="G67" s="34"/>
      <c r="H67" s="34"/>
      <c r="I67" s="34"/>
      <c r="J67" s="34"/>
      <c r="K67" s="323"/>
      <c r="L67" s="415" t="s">
        <v>279</v>
      </c>
      <c r="M67" s="78" t="s">
        <v>316</v>
      </c>
      <c r="N67" s="367"/>
      <c r="O67" s="164"/>
      <c r="P67" s="331" t="s">
        <v>269</v>
      </c>
      <c r="Q67" s="175" t="s">
        <v>251</v>
      </c>
      <c r="R67" s="342"/>
      <c r="S67" s="343"/>
      <c r="T67" s="174" t="s">
        <v>158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1" t="s">
        <v>339</v>
      </c>
      <c r="C68" s="34"/>
      <c r="D68" s="34"/>
      <c r="E68" s="34"/>
      <c r="F68" s="34"/>
      <c r="G68" s="34"/>
      <c r="H68" s="34"/>
      <c r="I68" s="34"/>
      <c r="J68" s="34"/>
      <c r="K68" s="34"/>
      <c r="L68" s="415">
        <v>14000</v>
      </c>
      <c r="M68" s="78" t="s">
        <v>364</v>
      </c>
      <c r="N68" s="367"/>
      <c r="O68" s="164"/>
      <c r="P68" s="331" t="s">
        <v>274</v>
      </c>
      <c r="Q68" s="175" t="s">
        <v>162</v>
      </c>
      <c r="R68" s="342"/>
      <c r="S68" s="343"/>
      <c r="T68" s="163" t="s">
        <v>161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.75" x14ac:dyDescent="0.3">
      <c r="A69" s="171">
        <v>434</v>
      </c>
      <c r="B69" s="77" t="s">
        <v>292</v>
      </c>
      <c r="C69" s="34"/>
      <c r="D69" s="34"/>
      <c r="E69" s="34"/>
      <c r="F69" s="34"/>
      <c r="G69" s="34"/>
      <c r="H69" s="34"/>
      <c r="I69" s="34"/>
      <c r="J69" s="34"/>
      <c r="K69" s="323"/>
      <c r="L69" s="336"/>
      <c r="M69" s="416" t="s">
        <v>280</v>
      </c>
      <c r="N69" s="240"/>
      <c r="O69" s="164"/>
      <c r="P69" s="331" t="s">
        <v>275</v>
      </c>
      <c r="Q69" s="175" t="s">
        <v>163</v>
      </c>
      <c r="R69" s="342"/>
      <c r="S69" s="343"/>
      <c r="T69" s="174" t="s">
        <v>305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502</v>
      </c>
      <c r="B70" s="77" t="s">
        <v>335</v>
      </c>
      <c r="C70" s="34"/>
      <c r="D70" s="34"/>
      <c r="E70" s="34"/>
      <c r="F70" s="34"/>
      <c r="G70" s="34"/>
      <c r="H70" s="34"/>
      <c r="I70" s="34"/>
      <c r="J70" s="34"/>
      <c r="K70" s="34"/>
      <c r="L70" s="351"/>
      <c r="M70" s="352" t="s">
        <v>297</v>
      </c>
      <c r="N70" s="353">
        <f>COUNTA(M57:M69)</f>
        <v>13</v>
      </c>
      <c r="O70" s="164"/>
      <c r="P70" s="336" t="s">
        <v>276</v>
      </c>
      <c r="Q70" s="361" t="s">
        <v>164</v>
      </c>
      <c r="R70" s="355"/>
      <c r="S70" s="356"/>
      <c r="T70" s="358" t="s">
        <v>254</v>
      </c>
      <c r="U70" s="356"/>
      <c r="V70" s="361">
        <v>1</v>
      </c>
      <c r="W70" s="363">
        <v>1</v>
      </c>
      <c r="X70" s="184"/>
      <c r="Y70" s="14"/>
      <c r="Z70" s="14"/>
      <c r="AA70" s="14"/>
      <c r="AB70" s="14"/>
    </row>
    <row r="71" spans="1:28" ht="18" x14ac:dyDescent="0.25">
      <c r="A71" s="171">
        <v>503</v>
      </c>
      <c r="B71" s="77" t="s">
        <v>336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7"/>
      <c r="R71" s="357"/>
      <c r="S71" s="358"/>
      <c r="T71" s="358"/>
      <c r="U71" s="359" t="s">
        <v>301</v>
      </c>
      <c r="V71" s="360">
        <f>SUM(V56:V70)</f>
        <v>15</v>
      </c>
      <c r="W71" s="364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510</v>
      </c>
      <c r="B72" s="77" t="s">
        <v>350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602</v>
      </c>
      <c r="B73" s="168" t="s">
        <v>218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227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308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314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306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298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0">
        <v>414</v>
      </c>
      <c r="B86" s="78" t="s">
        <v>319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0"/>
      <c r="B87" s="78" t="s">
        <v>321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1" t="s">
        <v>299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283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315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309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318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317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307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150</v>
      </c>
      <c r="C1" s="47" t="s">
        <v>151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152</v>
      </c>
      <c r="C2" s="47"/>
      <c r="D2" s="48"/>
      <c r="E2" s="48"/>
      <c r="F2" s="48"/>
      <c r="G2" s="48"/>
      <c r="H2" s="48"/>
      <c r="I2" s="48"/>
      <c r="J2" s="133" t="s">
        <v>229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151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2"/>
      <c r="B46" s="422"/>
      <c r="C46" s="164"/>
      <c r="D46" s="422"/>
      <c r="E46" s="422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2"/>
      <c r="B47" s="422"/>
      <c r="C47" s="164"/>
      <c r="D47" s="422"/>
      <c r="E47" s="422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2"/>
      <c r="B48" s="422"/>
      <c r="C48" s="164"/>
      <c r="D48" s="422"/>
      <c r="E48" s="422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2"/>
      <c r="B49" s="422"/>
      <c r="C49" s="164"/>
      <c r="D49" s="422"/>
      <c r="E49" s="422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2"/>
      <c r="B52" s="422"/>
      <c r="C52" s="174"/>
      <c r="D52" s="422"/>
      <c r="E52" s="422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2"/>
      <c r="B53" s="422"/>
      <c r="C53" s="172"/>
      <c r="D53" s="422"/>
      <c r="E53" s="422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240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241</v>
      </c>
      <c r="C57" s="172"/>
      <c r="D57" s="422"/>
      <c r="E57" s="422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2"/>
      <c r="B58" s="422"/>
      <c r="C58" s="163"/>
      <c r="D58" s="422"/>
      <c r="E58" s="422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A53:B53"/>
    <mergeCell ref="A58:B58"/>
    <mergeCell ref="A46:B46"/>
    <mergeCell ref="A47:B47"/>
    <mergeCell ref="A48:B48"/>
    <mergeCell ref="A49:B49"/>
    <mergeCell ref="A52:B52"/>
    <mergeCell ref="D52:E52"/>
    <mergeCell ref="D53:E53"/>
    <mergeCell ref="D57:E57"/>
    <mergeCell ref="D58:E58"/>
    <mergeCell ref="D46:E46"/>
    <mergeCell ref="D47:E47"/>
    <mergeCell ref="D48:E48"/>
    <mergeCell ref="D49:E49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/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135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294</v>
      </c>
      <c r="C4" s="49" t="s">
        <v>136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252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253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189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103017.75</v>
      </c>
      <c r="J12" s="9">
        <f>IF(J$6="Actual",'9397 BOEE'!J12,0)</f>
        <v>149394.75</v>
      </c>
      <c r="K12" s="9">
        <f>IF(K$6="Actual",'9397 BOEE'!K12,0)</f>
        <v>123095.25</v>
      </c>
      <c r="L12" s="9">
        <f>IF(L$6="Actual",'9397 BOEE'!L12,0)</f>
        <v>120010</v>
      </c>
      <c r="M12" s="9">
        <f>IF(M$6="Actual",'9397 BOEE'!M12,0)</f>
        <v>0</v>
      </c>
      <c r="N12" s="9">
        <f>IF(N$6="Actual",'9397 BOEE'!N12,0)</f>
        <v>0</v>
      </c>
      <c r="O12" s="9">
        <f>IF(O$6="Actual",'9397 BOEE'!O12,0)</f>
        <v>0</v>
      </c>
      <c r="P12" s="9">
        <f>IF(P$6="Actual",'9397 BOEE'!P12,0)</f>
        <v>0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1216395.25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190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38325</v>
      </c>
      <c r="J14" s="9">
        <f>IF(J$6="Actual",'9397 BOEE'!J14,0)</f>
        <v>58435</v>
      </c>
      <c r="K14" s="9">
        <f>IF(K$6="Actual",'9397 BOEE'!K14,0)</f>
        <v>45595</v>
      </c>
      <c r="L14" s="9">
        <f>IF(L$6="Actual",'9397 BOEE'!L14,0)</f>
        <v>41883.75</v>
      </c>
      <c r="M14" s="9">
        <f>IF(M$6="Actual",'9397 BOEE'!M14,0)</f>
        <v>0</v>
      </c>
      <c r="N14" s="9">
        <f>IF(N$6="Actual",'9397 BOEE'!N14,0)</f>
        <v>0</v>
      </c>
      <c r="O14" s="9">
        <f>IF(O$6="Actual",'9397 BOEE'!O14,0)</f>
        <v>0</v>
      </c>
      <c r="P14" s="9">
        <f>IF(P$6="Actual",'9397 BOEE'!P14,0)</f>
        <v>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415565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141342.75</v>
      </c>
      <c r="J16" s="201">
        <f t="shared" si="2"/>
        <v>207829.75</v>
      </c>
      <c r="K16" s="201">
        <f t="shared" si="2"/>
        <v>168690.25</v>
      </c>
      <c r="L16" s="201">
        <f t="shared" si="2"/>
        <v>161893.75</v>
      </c>
      <c r="M16" s="201">
        <f t="shared" si="2"/>
        <v>0</v>
      </c>
      <c r="N16" s="201">
        <f t="shared" si="2"/>
        <v>0</v>
      </c>
      <c r="O16" s="201">
        <f t="shared" si="2"/>
        <v>0</v>
      </c>
      <c r="P16" s="201">
        <f t="shared" si="2"/>
        <v>0</v>
      </c>
      <c r="Q16" s="201">
        <f t="shared" si="2"/>
        <v>0</v>
      </c>
      <c r="R16" s="201">
        <f t="shared" si="2"/>
        <v>0</v>
      </c>
      <c r="S16" s="201">
        <f t="shared" si="2"/>
        <v>1632059</v>
      </c>
    </row>
    <row r="17" spans="1:21" x14ac:dyDescent="0.2">
      <c r="A17" s="14"/>
      <c r="B17" s="14"/>
      <c r="C17" s="14"/>
    </row>
    <row r="18" spans="1:21" ht="15" x14ac:dyDescent="0.2">
      <c r="A18" s="37" t="s">
        <v>220</v>
      </c>
      <c r="B18" s="37" t="s">
        <v>221</v>
      </c>
      <c r="D18" s="378"/>
      <c r="E18" s="378">
        <v>21.25</v>
      </c>
      <c r="F18" s="378"/>
      <c r="G18" s="378"/>
      <c r="H18" s="378"/>
      <c r="I18" s="378"/>
      <c r="J18" s="378"/>
      <c r="K18" s="378">
        <v>0</v>
      </c>
      <c r="L18" s="378">
        <v>0</v>
      </c>
      <c r="M18" s="378"/>
      <c r="N18" s="378"/>
      <c r="O18" s="378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222</v>
      </c>
      <c r="B19" s="37" t="s">
        <v>359</v>
      </c>
      <c r="D19" s="385">
        <v>55051.25</v>
      </c>
      <c r="E19" s="385">
        <v>64820</v>
      </c>
      <c r="F19" s="385">
        <v>37046.25</v>
      </c>
      <c r="G19" s="385">
        <v>39422.5</v>
      </c>
      <c r="H19" s="385">
        <v>30771.25</v>
      </c>
      <c r="I19" s="385">
        <v>32431.25</v>
      </c>
      <c r="J19" s="385">
        <v>46966.25</v>
      </c>
      <c r="K19" s="385">
        <v>38823.75</v>
      </c>
      <c r="L19" s="385">
        <v>37746.25</v>
      </c>
      <c r="M19" s="385">
        <v>0</v>
      </c>
      <c r="N19" s="385">
        <v>0</v>
      </c>
      <c r="O19" s="385">
        <v>0</v>
      </c>
      <c r="P19" s="293"/>
      <c r="Q19" s="293"/>
      <c r="R19" s="293"/>
      <c r="S19" s="294">
        <f t="shared" si="3"/>
        <v>383078.75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223</v>
      </c>
      <c r="B21" s="295"/>
      <c r="C21" s="295"/>
      <c r="D21" s="377">
        <f>SUM(D18:D20)</f>
        <v>55051.25</v>
      </c>
      <c r="E21" s="377">
        <f t="shared" ref="E21:S21" si="4">SUM(E18:E20)</f>
        <v>64841.25</v>
      </c>
      <c r="F21" s="377">
        <f t="shared" si="4"/>
        <v>37046.25</v>
      </c>
      <c r="G21" s="377">
        <f t="shared" si="4"/>
        <v>39422.5</v>
      </c>
      <c r="H21" s="377">
        <f t="shared" si="4"/>
        <v>30771.25</v>
      </c>
      <c r="I21" s="377">
        <f t="shared" si="4"/>
        <v>32431.25</v>
      </c>
      <c r="J21" s="377">
        <f t="shared" si="4"/>
        <v>46966.25</v>
      </c>
      <c r="K21" s="377">
        <f t="shared" si="4"/>
        <v>38823.75</v>
      </c>
      <c r="L21" s="377">
        <f t="shared" si="4"/>
        <v>37746.25</v>
      </c>
      <c r="M21" s="377">
        <f t="shared" si="4"/>
        <v>0</v>
      </c>
      <c r="N21" s="377">
        <f t="shared" si="4"/>
        <v>0</v>
      </c>
      <c r="O21" s="377">
        <f t="shared" si="4"/>
        <v>0</v>
      </c>
      <c r="P21" s="296">
        <f t="shared" si="4"/>
        <v>0</v>
      </c>
      <c r="Q21" s="296">
        <f t="shared" si="4"/>
        <v>0</v>
      </c>
      <c r="R21" s="296">
        <f t="shared" si="4"/>
        <v>0</v>
      </c>
      <c r="S21" s="296">
        <f t="shared" si="4"/>
        <v>383100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224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173774</v>
      </c>
      <c r="J23" s="297">
        <f t="shared" si="5"/>
        <v>254796</v>
      </c>
      <c r="K23" s="297">
        <f t="shared" si="5"/>
        <v>207514</v>
      </c>
      <c r="L23" s="297">
        <f t="shared" si="5"/>
        <v>199640</v>
      </c>
      <c r="M23" s="297">
        <f t="shared" si="5"/>
        <v>0</v>
      </c>
      <c r="N23" s="297">
        <f t="shared" si="5"/>
        <v>0</v>
      </c>
      <c r="O23" s="297">
        <f t="shared" si="5"/>
        <v>0</v>
      </c>
      <c r="P23" s="297">
        <f t="shared" si="5"/>
        <v>0</v>
      </c>
      <c r="Q23" s="297">
        <f t="shared" si="5"/>
        <v>0</v>
      </c>
      <c r="R23" s="297">
        <f t="shared" si="5"/>
        <v>0</v>
      </c>
      <c r="S23" s="297">
        <f t="shared" si="5"/>
        <v>2015159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277</v>
      </c>
      <c r="C25" s="37"/>
      <c r="D25" s="354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>
        <f>IF(I6="Actual",SUM($D23:I23)/SUM($D50:I50)-1,"")</f>
        <v>-1.8205143074789598E-2</v>
      </c>
      <c r="J25" s="334">
        <f>IF(J6="Actual",SUM($D23:J23)/SUM($D50:J50)-1,"")</f>
        <v>-8.6608861500997447E-3</v>
      </c>
      <c r="K25" s="354">
        <f>IF(K6="Actual",SUM($D23:K23)/SUM($D50:K50)-1,"")</f>
        <v>-2.4081905480091148E-3</v>
      </c>
      <c r="L25" s="334">
        <f>IF(L6="Actual",SUM($D23:L23)/SUM($D50:L50)-1,"")</f>
        <v>1.5801983701253519E-3</v>
      </c>
      <c r="M25" s="354" t="str">
        <f>IF(M6="Actual",SUM($D23:M23)/SUM($D50:M50)-1,"")</f>
        <v/>
      </c>
      <c r="N25" s="334" t="str">
        <f>IF(N6="Actual",SUM($D23:N23)/SUM($D50:N50)-1,"")</f>
        <v/>
      </c>
      <c r="O25" s="354" t="str">
        <f>IF(O6="Actual",SUM($D23:O23)/SUM($D50:O50)-1,"")</f>
        <v/>
      </c>
      <c r="P25" s="37"/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331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3"/>
      <c r="U32" s="374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189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190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5">
        <f>SUM(D37:D42)</f>
        <v>209997.5</v>
      </c>
      <c r="E43" s="375">
        <f t="shared" ref="E43:S43" si="7">SUM(E37:E42)</f>
        <v>256289.54</v>
      </c>
      <c r="F43" s="375">
        <f t="shared" si="7"/>
        <v>194831.91999999998</v>
      </c>
      <c r="G43" s="375">
        <f t="shared" si="7"/>
        <v>165304</v>
      </c>
      <c r="H43" s="375">
        <f t="shared" si="7"/>
        <v>143907.25</v>
      </c>
      <c r="I43" s="375">
        <f t="shared" si="7"/>
        <v>147163.25</v>
      </c>
      <c r="J43" s="375">
        <f t="shared" si="7"/>
        <v>198581</v>
      </c>
      <c r="K43" s="375">
        <f t="shared" si="7"/>
        <v>160173.25</v>
      </c>
      <c r="L43" s="375">
        <f t="shared" si="7"/>
        <v>156081.75</v>
      </c>
      <c r="M43" s="375">
        <f t="shared" si="7"/>
        <v>187684</v>
      </c>
      <c r="N43" s="375">
        <f t="shared" si="7"/>
        <v>255340.31</v>
      </c>
      <c r="O43" s="375">
        <f t="shared" si="7"/>
        <v>228330.25</v>
      </c>
      <c r="P43" s="375">
        <f t="shared" si="7"/>
        <v>38.139999999993016</v>
      </c>
      <c r="Q43" s="375">
        <f t="shared" si="7"/>
        <v>0</v>
      </c>
      <c r="R43" s="375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220</v>
      </c>
      <c r="B45" t="s">
        <v>221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222</v>
      </c>
      <c r="B46" t="s">
        <v>189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6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223</v>
      </c>
      <c r="B48" s="295"/>
      <c r="C48" s="295"/>
      <c r="D48" s="377">
        <f>SUM(D45:D47)</f>
        <v>48807.5</v>
      </c>
      <c r="E48" s="377">
        <f t="shared" ref="E48:R48" si="9">SUM(E45:E47)</f>
        <v>62606.25</v>
      </c>
      <c r="F48" s="377">
        <f t="shared" si="9"/>
        <v>44609.46</v>
      </c>
      <c r="G48" s="377">
        <f t="shared" si="9"/>
        <v>38545</v>
      </c>
      <c r="H48" s="377">
        <f t="shared" si="9"/>
        <v>32553.75</v>
      </c>
      <c r="I48" s="377">
        <f t="shared" si="9"/>
        <v>33685.75</v>
      </c>
      <c r="J48" s="377">
        <f t="shared" si="9"/>
        <v>45171.25</v>
      </c>
      <c r="K48" s="377">
        <f t="shared" si="9"/>
        <v>37675</v>
      </c>
      <c r="L48" s="377">
        <f t="shared" si="9"/>
        <v>35996.252999999997</v>
      </c>
      <c r="M48" s="377">
        <f t="shared" si="9"/>
        <v>43542.5</v>
      </c>
      <c r="N48" s="377">
        <f t="shared" si="9"/>
        <v>63243.69</v>
      </c>
      <c r="O48" s="377">
        <f t="shared" si="9"/>
        <v>56128.75</v>
      </c>
      <c r="P48" s="377">
        <f t="shared" si="9"/>
        <v>9.11</v>
      </c>
      <c r="Q48" s="377">
        <f t="shared" si="9"/>
        <v>0</v>
      </c>
      <c r="R48" s="377">
        <f t="shared" si="9"/>
        <v>0</v>
      </c>
      <c r="S48" s="377">
        <f t="shared" ref="S48" si="10">SUM(S45:S47)</f>
        <v>542574.26299999992</v>
      </c>
    </row>
    <row r="49" spans="1:19" ht="15" x14ac:dyDescent="0.2">
      <c r="A49" s="37"/>
      <c r="B49" s="37"/>
      <c r="C49" s="37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4"/>
    </row>
    <row r="50" spans="1:19" ht="16.5" thickBot="1" x14ac:dyDescent="0.3">
      <c r="A50" s="295" t="s">
        <v>224</v>
      </c>
      <c r="B50" s="37"/>
      <c r="C50" s="37"/>
      <c r="D50" s="379">
        <f>D43+D48</f>
        <v>258805</v>
      </c>
      <c r="E50" s="379">
        <f t="shared" ref="E50:S50" si="11">E43+E48</f>
        <v>318895.79000000004</v>
      </c>
      <c r="F50" s="379">
        <f t="shared" si="11"/>
        <v>239441.37999999998</v>
      </c>
      <c r="G50" s="379">
        <f t="shared" si="11"/>
        <v>203849</v>
      </c>
      <c r="H50" s="379">
        <f t="shared" si="11"/>
        <v>176461</v>
      </c>
      <c r="I50" s="379">
        <f t="shared" si="11"/>
        <v>180849</v>
      </c>
      <c r="J50" s="379">
        <f t="shared" si="11"/>
        <v>243752.25</v>
      </c>
      <c r="K50" s="379">
        <f t="shared" si="11"/>
        <v>197848.25</v>
      </c>
      <c r="L50" s="379">
        <f t="shared" si="11"/>
        <v>192078.003</v>
      </c>
      <c r="M50" s="379">
        <f t="shared" si="11"/>
        <v>231226.5</v>
      </c>
      <c r="N50" s="379">
        <f t="shared" si="11"/>
        <v>318584</v>
      </c>
      <c r="O50" s="379">
        <f t="shared" si="11"/>
        <v>284459</v>
      </c>
      <c r="P50" s="379">
        <f t="shared" si="11"/>
        <v>47.249999999993015</v>
      </c>
      <c r="Q50" s="379">
        <f t="shared" si="11"/>
        <v>0</v>
      </c>
      <c r="R50" s="379">
        <f t="shared" si="11"/>
        <v>0</v>
      </c>
      <c r="S50" s="380">
        <f t="shared" si="11"/>
        <v>2846296.423</v>
      </c>
    </row>
  </sheetData>
  <printOptions horizontalCentered="1"/>
  <pageMargins left="0.45" right="0.45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 activeCell="B1" sqref="B1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216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330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243</v>
      </c>
      <c r="D4" s="289" t="s">
        <v>193</v>
      </c>
      <c r="E4" s="290" t="s">
        <v>244</v>
      </c>
      <c r="F4" s="290"/>
      <c r="G4" s="289" t="s">
        <v>329</v>
      </c>
      <c r="H4" s="289" t="s">
        <v>199</v>
      </c>
      <c r="I4" s="291" t="s">
        <v>200</v>
      </c>
      <c r="K4" s="275"/>
      <c r="L4" s="275"/>
      <c r="M4" s="276" t="s">
        <v>201</v>
      </c>
    </row>
    <row r="5" spans="1:13" x14ac:dyDescent="0.2">
      <c r="A5" s="269" t="s">
        <v>194</v>
      </c>
      <c r="G5" s="272"/>
      <c r="I5" s="274"/>
      <c r="K5" s="279" t="s">
        <v>202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362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203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204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205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1216395.25</v>
      </c>
      <c r="D9" s="9"/>
      <c r="E9" s="271">
        <f t="shared" si="1"/>
        <v>1216395.25</v>
      </c>
      <c r="F9" s="271"/>
      <c r="G9" s="273">
        <f>'9397 BOEE'!U12</f>
        <v>1800000</v>
      </c>
      <c r="H9" s="9"/>
      <c r="I9" s="274"/>
      <c r="K9" s="279" t="s">
        <v>206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415565</v>
      </c>
      <c r="D10" s="9"/>
      <c r="E10" s="271">
        <f t="shared" si="1"/>
        <v>415565</v>
      </c>
      <c r="F10" s="271"/>
      <c r="G10" s="273">
        <f>'9397 BOEE'!U14</f>
        <v>590000</v>
      </c>
      <c r="H10" s="9"/>
      <c r="I10" s="274"/>
      <c r="K10" s="279" t="s">
        <v>207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196</v>
      </c>
      <c r="C11" s="281">
        <f t="shared" ref="C11:E11" si="2">SUM(C6:C10)</f>
        <v>3136210.69</v>
      </c>
      <c r="D11" s="281">
        <f t="shared" ref="D11" si="3">SUM(D6:D10)</f>
        <v>0</v>
      </c>
      <c r="E11" s="281">
        <f t="shared" si="2"/>
        <v>3136210.69</v>
      </c>
      <c r="F11" s="281"/>
      <c r="G11" s="282">
        <f>SUM(G6:G10)</f>
        <v>3950181</v>
      </c>
      <c r="H11" s="281"/>
      <c r="I11" s="274"/>
      <c r="K11" s="279" t="s">
        <v>208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197</v>
      </c>
      <c r="C12" s="283">
        <f>SUM(C8:C10)</f>
        <v>1632059</v>
      </c>
      <c r="D12" s="283">
        <f>SUM(D8:D10)</f>
        <v>0</v>
      </c>
      <c r="E12" s="283">
        <f>SUM(E8:E10)</f>
        <v>1632059</v>
      </c>
      <c r="F12" s="283"/>
      <c r="G12" s="284">
        <f>SUM(G8:G10)</f>
        <v>2396000</v>
      </c>
      <c r="H12" s="285">
        <f>G12-E12</f>
        <v>763941</v>
      </c>
      <c r="I12" s="274">
        <f>IF(G12=0,0,E12/G12)</f>
        <v>0.68115984974958266</v>
      </c>
      <c r="K12" s="279" t="s">
        <v>209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210</v>
      </c>
      <c r="L13" s="277">
        <v>9</v>
      </c>
      <c r="M13" s="278">
        <f t="shared" si="0"/>
        <v>0.75</v>
      </c>
    </row>
    <row r="14" spans="1:13" x14ac:dyDescent="0.2">
      <c r="A14" s="269" t="s">
        <v>191</v>
      </c>
      <c r="C14" s="9"/>
      <c r="D14" s="9"/>
      <c r="G14" s="273"/>
      <c r="H14" s="9"/>
      <c r="I14" s="274"/>
      <c r="K14" s="279" t="s">
        <v>211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1310555.73</v>
      </c>
      <c r="D15" s="9"/>
      <c r="E15" s="271">
        <f t="shared" ref="E15:E42" si="4">C15+D15</f>
        <v>1310555.73</v>
      </c>
      <c r="F15" s="271"/>
      <c r="G15" s="273">
        <f>'9397 BOEE'!U19</f>
        <v>1912643</v>
      </c>
      <c r="H15" s="9">
        <f>G15-E15</f>
        <v>602087.27</v>
      </c>
      <c r="I15" s="274">
        <f t="shared" ref="I15:I43" si="5">IF(G15=0,0,E15/G15)</f>
        <v>0.68520666428601673</v>
      </c>
      <c r="K15" s="279" t="s">
        <v>212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7355.9900000000007</v>
      </c>
      <c r="D16" s="9"/>
      <c r="E16" s="271">
        <f t="shared" si="4"/>
        <v>7355.9900000000007</v>
      </c>
      <c r="F16" s="271"/>
      <c r="G16" s="273">
        <f>'9397 BOEE'!U20</f>
        <v>21000</v>
      </c>
      <c r="H16" s="9">
        <f t="shared" ref="H16:H42" si="6">G16-D16-C16</f>
        <v>13644.009999999998</v>
      </c>
      <c r="I16" s="274">
        <f t="shared" si="5"/>
        <v>0.35028523809523815</v>
      </c>
      <c r="K16" s="279" t="s">
        <v>213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1275.5899999999999</v>
      </c>
      <c r="D17" s="9"/>
      <c r="E17" s="271">
        <f t="shared" si="4"/>
        <v>1275.5899999999999</v>
      </c>
      <c r="F17" s="271"/>
      <c r="G17" s="273">
        <f>'9397 BOEE'!U21</f>
        <v>20000</v>
      </c>
      <c r="H17" s="9">
        <f t="shared" si="6"/>
        <v>18724.41</v>
      </c>
      <c r="I17" s="274">
        <f t="shared" si="5"/>
        <v>6.3779499999999989E-2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2140.62</v>
      </c>
      <c r="D18" s="9"/>
      <c r="E18" s="271">
        <f t="shared" si="4"/>
        <v>2140.62</v>
      </c>
      <c r="F18" s="271"/>
      <c r="G18" s="273">
        <f>'9397 BOEE'!U22</f>
        <v>10500</v>
      </c>
      <c r="H18" s="9">
        <f t="shared" si="6"/>
        <v>8359.380000000001</v>
      </c>
      <c r="I18" s="274">
        <f t="shared" si="5"/>
        <v>0.20386857142857143</v>
      </c>
    </row>
    <row r="19" spans="1:9" x14ac:dyDescent="0.2">
      <c r="A19" s="267" t="s">
        <v>234</v>
      </c>
      <c r="B19" s="266" t="s">
        <v>235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160</v>
      </c>
      <c r="D21" s="9"/>
      <c r="E21" s="271">
        <f t="shared" si="4"/>
        <v>160</v>
      </c>
      <c r="F21" s="271"/>
      <c r="G21" s="273">
        <f>'9397 BOEE'!U25</f>
        <v>3500</v>
      </c>
      <c r="H21" s="9">
        <f t="shared" si="6"/>
        <v>3340</v>
      </c>
      <c r="I21" s="274">
        <f t="shared" si="5"/>
        <v>4.5714285714285714E-2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3478.0000000000005</v>
      </c>
      <c r="D23" s="9"/>
      <c r="E23" s="271">
        <f t="shared" si="4"/>
        <v>3478.0000000000005</v>
      </c>
      <c r="F23" s="271"/>
      <c r="G23" s="273">
        <f>'9397 BOEE'!U27</f>
        <v>12500</v>
      </c>
      <c r="H23" s="9">
        <f t="shared" si="6"/>
        <v>9022</v>
      </c>
      <c r="I23" s="274">
        <f t="shared" si="5"/>
        <v>0.27824000000000004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12397.36</v>
      </c>
      <c r="D24" s="9"/>
      <c r="E24" s="271">
        <f t="shared" si="4"/>
        <v>12397.36</v>
      </c>
      <c r="F24" s="271"/>
      <c r="G24" s="273">
        <f>'9397 BOEE'!U28</f>
        <v>20000.11</v>
      </c>
      <c r="H24" s="9">
        <f t="shared" si="6"/>
        <v>7602.75</v>
      </c>
      <c r="I24" s="274">
        <f t="shared" si="5"/>
        <v>0.61986459074475087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36750</v>
      </c>
      <c r="D25" s="9"/>
      <c r="E25" s="271">
        <f t="shared" si="4"/>
        <v>36750</v>
      </c>
      <c r="F25" s="271"/>
      <c r="G25" s="273">
        <f>'9397 BOEE'!U29</f>
        <v>71500</v>
      </c>
      <c r="H25" s="9">
        <f t="shared" si="6"/>
        <v>34750</v>
      </c>
      <c r="I25" s="274">
        <f t="shared" si="5"/>
        <v>0.51398601398601396</v>
      </c>
    </row>
    <row r="26" spans="1:9" x14ac:dyDescent="0.2">
      <c r="A26" s="267" t="s">
        <v>237</v>
      </c>
      <c r="B26" s="266" t="s">
        <v>238</v>
      </c>
      <c r="C26" s="9">
        <f>'9397 BOEE'!S30</f>
        <v>1885.6699999999998</v>
      </c>
      <c r="D26" s="9"/>
      <c r="E26" s="271">
        <f t="shared" ref="E26" si="11">C26+D26</f>
        <v>1885.6699999999998</v>
      </c>
      <c r="F26" s="271"/>
      <c r="G26" s="273">
        <f>'9397 BOEE'!U30</f>
        <v>4000.25</v>
      </c>
      <c r="H26" s="9">
        <f t="shared" ref="H26" si="12">G26-D26-C26</f>
        <v>2114.58</v>
      </c>
      <c r="I26" s="274">
        <f t="shared" si="5"/>
        <v>0.4713880382476095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2345.4</v>
      </c>
      <c r="D27" s="9"/>
      <c r="E27" s="271">
        <f t="shared" si="4"/>
        <v>2345.4</v>
      </c>
      <c r="F27" s="271"/>
      <c r="G27" s="273">
        <f>'9397 BOEE'!U31</f>
        <v>5000</v>
      </c>
      <c r="H27" s="9">
        <f t="shared" si="6"/>
        <v>2654.6</v>
      </c>
      <c r="I27" s="274">
        <f t="shared" si="5"/>
        <v>0.46908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3206.93</v>
      </c>
      <c r="D28" s="9"/>
      <c r="E28" s="271">
        <f t="shared" si="4"/>
        <v>3206.93</v>
      </c>
      <c r="F28" s="271"/>
      <c r="G28" s="273">
        <f>'9397 BOEE'!U32</f>
        <v>6000</v>
      </c>
      <c r="H28" s="9">
        <f t="shared" si="6"/>
        <v>2793.07</v>
      </c>
      <c r="I28" s="274">
        <f t="shared" si="5"/>
        <v>0.53448833333333334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211.89999999999998</v>
      </c>
      <c r="D30" s="9"/>
      <c r="E30" s="271">
        <f t="shared" si="4"/>
        <v>211.89999999999998</v>
      </c>
      <c r="F30" s="271"/>
      <c r="G30" s="273">
        <f>'9397 BOEE'!U34</f>
        <v>1000</v>
      </c>
      <c r="H30" s="9">
        <f t="shared" si="6"/>
        <v>788.1</v>
      </c>
      <c r="I30" s="274">
        <f t="shared" si="5"/>
        <v>0.21189999999999998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7053.4499999999989</v>
      </c>
      <c r="D31" s="9"/>
      <c r="E31" s="271">
        <f t="shared" si="4"/>
        <v>7053.4499999999989</v>
      </c>
      <c r="F31" s="271"/>
      <c r="G31" s="273">
        <f>'9397 BOEE'!U35</f>
        <v>8000</v>
      </c>
      <c r="H31" s="9">
        <f t="shared" si="6"/>
        <v>946.55000000000109</v>
      </c>
      <c r="I31" s="274">
        <f t="shared" si="5"/>
        <v>0.88168124999999986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200381.53</v>
      </c>
      <c r="D32" s="9"/>
      <c r="E32" s="271">
        <f t="shared" si="4"/>
        <v>200381.53</v>
      </c>
      <c r="F32" s="271"/>
      <c r="G32" s="273">
        <f>'9397 BOEE'!U36</f>
        <v>210000</v>
      </c>
      <c r="H32" s="9">
        <f t="shared" si="6"/>
        <v>9618.4700000000012</v>
      </c>
      <c r="I32" s="274">
        <f t="shared" si="5"/>
        <v>0.95419776190476191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0</v>
      </c>
      <c r="D34" s="9"/>
      <c r="E34" s="271">
        <f t="shared" si="4"/>
        <v>0</v>
      </c>
      <c r="F34" s="271"/>
      <c r="G34" s="273">
        <f>'9397 BOEE'!U38</f>
        <v>54000</v>
      </c>
      <c r="H34" s="9">
        <f t="shared" si="6"/>
        <v>54000</v>
      </c>
      <c r="I34" s="274">
        <f t="shared" si="5"/>
        <v>0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88085.079999999987</v>
      </c>
      <c r="D35" s="9"/>
      <c r="E35" s="271">
        <f t="shared" si="4"/>
        <v>88085.079999999987</v>
      </c>
      <c r="F35" s="271"/>
      <c r="G35" s="273">
        <f>'9397 BOEE'!U39</f>
        <v>320000</v>
      </c>
      <c r="H35" s="9">
        <f t="shared" si="6"/>
        <v>231914.92</v>
      </c>
      <c r="I35" s="274">
        <f t="shared" si="5"/>
        <v>0.27526587499999994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21494.880000000001</v>
      </c>
      <c r="D39" s="9"/>
      <c r="E39" s="271">
        <f t="shared" si="4"/>
        <v>21494.880000000001</v>
      </c>
      <c r="F39" s="271"/>
      <c r="G39" s="273">
        <f>'9397 BOEE'!U43</f>
        <v>32268</v>
      </c>
      <c r="H39" s="9">
        <f t="shared" si="6"/>
        <v>10773.119999999999</v>
      </c>
      <c r="I39" s="274">
        <f t="shared" si="5"/>
        <v>0.66613611007809603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22649.870000000003</v>
      </c>
      <c r="D40" s="9"/>
      <c r="E40" s="271">
        <f t="shared" si="4"/>
        <v>22649.870000000003</v>
      </c>
      <c r="F40" s="271"/>
      <c r="G40" s="273">
        <f>'9397 BOEE'!U44</f>
        <v>42000</v>
      </c>
      <c r="H40" s="9">
        <f t="shared" si="6"/>
        <v>19350.129999999997</v>
      </c>
      <c r="I40" s="274">
        <f t="shared" si="5"/>
        <v>0.53928261904761909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120</v>
      </c>
      <c r="D42" s="9"/>
      <c r="E42" s="271">
        <f t="shared" si="4"/>
        <v>120</v>
      </c>
      <c r="F42" s="271"/>
      <c r="G42" s="273">
        <f>'9397 BOEE'!U46</f>
        <v>5000</v>
      </c>
      <c r="H42" s="9">
        <f t="shared" si="6"/>
        <v>4880</v>
      </c>
      <c r="I42" s="274">
        <f t="shared" si="5"/>
        <v>2.4E-2</v>
      </c>
    </row>
    <row r="43" spans="1:9" x14ac:dyDescent="0.2">
      <c r="A43" s="266"/>
      <c r="B43" s="268" t="s">
        <v>192</v>
      </c>
      <c r="C43" s="280">
        <f>SUM(C15:C42)</f>
        <v>1721548</v>
      </c>
      <c r="D43" s="280">
        <f>SUM(D15:D42)</f>
        <v>0</v>
      </c>
      <c r="E43" s="280">
        <f>SUM(E15:E42)</f>
        <v>1721548</v>
      </c>
      <c r="F43" s="280"/>
      <c r="G43" s="280">
        <f>SUM(G15:G42)</f>
        <v>2785111.0300000003</v>
      </c>
      <c r="H43" s="280">
        <f>SUM(H15:H42)</f>
        <v>1062563.03</v>
      </c>
      <c r="I43" s="274">
        <f t="shared" si="5"/>
        <v>0.61812544686952742</v>
      </c>
    </row>
    <row r="44" spans="1:9" x14ac:dyDescent="0.2">
      <c r="I44" s="274"/>
    </row>
    <row r="45" spans="1:9" ht="13.5" thickBot="1" x14ac:dyDescent="0.25">
      <c r="B45" s="12" t="s">
        <v>214</v>
      </c>
      <c r="C45" s="283">
        <f>C12-C43</f>
        <v>-89489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215</v>
      </c>
      <c r="C47" s="283">
        <f>C6+C45</f>
        <v>1414662.69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workbookViewId="0">
      <pane ySplit="4" topLeftCell="A13" activePane="bottomLeft" state="frozen"/>
      <selection pane="bottomLeft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bestFit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330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233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194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195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1216395.25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415565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196</v>
      </c>
      <c r="D11" s="281">
        <f t="shared" ref="D11" si="0">SUM(D6:D10)</f>
        <v>3136210.69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197</v>
      </c>
      <c r="D12" s="283">
        <f>SUM(D8:D10)</f>
        <v>1632059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228</v>
      </c>
      <c r="B14" s="269" t="s">
        <v>191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1310555.73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1310555.73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8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7355.9900000000007</v>
      </c>
      <c r="F16">
        <v>2</v>
      </c>
      <c r="G16" s="308"/>
      <c r="H16" s="307" t="str">
        <f t="shared" si="2"/>
        <v>ITD Reimbursements</v>
      </c>
      <c r="I16" s="312">
        <f t="shared" si="3"/>
        <v>200381.53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15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1275.5899999999999</v>
      </c>
      <c r="F17">
        <v>3</v>
      </c>
      <c r="G17" s="308"/>
      <c r="H17" s="307" t="str">
        <f t="shared" si="2"/>
        <v>Gov Transfer Other Agencies</v>
      </c>
      <c r="I17" s="312">
        <f t="shared" si="3"/>
        <v>88085.079999999987</v>
      </c>
      <c r="J17" s="303"/>
      <c r="K17" s="14"/>
      <c r="L17" s="14"/>
      <c r="M17" s="14"/>
      <c r="N17" s="14"/>
    </row>
    <row r="18" spans="1:14" x14ac:dyDescent="0.2">
      <c r="A18" s="308">
        <f t="shared" si="1"/>
        <v>13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2140.62</v>
      </c>
      <c r="F18">
        <v>4</v>
      </c>
      <c r="G18" s="308"/>
      <c r="H18" s="307" t="str">
        <f t="shared" si="2"/>
        <v>Rentals</v>
      </c>
      <c r="I18" s="312">
        <f t="shared" si="3"/>
        <v>36750</v>
      </c>
      <c r="J18" s="303"/>
      <c r="K18" s="14"/>
      <c r="L18" s="14"/>
      <c r="M18" s="14"/>
      <c r="N18" s="14"/>
    </row>
    <row r="19" spans="1:14" x14ac:dyDescent="0.2">
      <c r="A19" s="308">
        <f t="shared" si="1"/>
        <v>19</v>
      </c>
      <c r="B19" s="267" t="s">
        <v>234</v>
      </c>
      <c r="C19" s="266" t="s">
        <v>235</v>
      </c>
      <c r="D19" s="9">
        <f>'Obligations vs Bgt'!E19</f>
        <v>0</v>
      </c>
      <c r="F19">
        <v>5</v>
      </c>
      <c r="G19" s="308"/>
      <c r="H19" s="307" t="str">
        <f t="shared" si="2"/>
        <v>Other Expenses &amp; Obligations</v>
      </c>
      <c r="I19" s="312">
        <f t="shared" si="3"/>
        <v>22649.870000000003</v>
      </c>
      <c r="J19" s="303"/>
      <c r="K19" s="14"/>
      <c r="L19" s="14"/>
      <c r="M19" s="14"/>
      <c r="N19" s="14"/>
    </row>
    <row r="20" spans="1:14" x14ac:dyDescent="0.2">
      <c r="A20" s="308">
        <f t="shared" si="1"/>
        <v>19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IT Equipment &amp; Software</v>
      </c>
      <c r="I20" s="312">
        <f t="shared" si="3"/>
        <v>21494.880000000001</v>
      </c>
      <c r="J20" s="303"/>
      <c r="K20" s="14"/>
      <c r="L20" s="14"/>
      <c r="M20" s="14"/>
      <c r="N20" s="14"/>
    </row>
    <row r="21" spans="1:14" x14ac:dyDescent="0.2">
      <c r="A21" s="308">
        <f t="shared" si="1"/>
        <v>17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160</v>
      </c>
      <c r="F21">
        <v>7</v>
      </c>
      <c r="G21" s="308"/>
      <c r="H21" s="307" t="str">
        <f t="shared" si="2"/>
        <v>Communications</v>
      </c>
      <c r="I21" s="312">
        <f t="shared" si="3"/>
        <v>12397.36</v>
      </c>
      <c r="J21" s="303"/>
      <c r="K21" s="14"/>
      <c r="L21" s="14"/>
      <c r="M21" s="14"/>
      <c r="N21" s="14"/>
    </row>
    <row r="22" spans="1:14" x14ac:dyDescent="0.2">
      <c r="A22" s="308">
        <f t="shared" si="1"/>
        <v>19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In State Travel</v>
      </c>
      <c r="I22" s="312">
        <f t="shared" si="3"/>
        <v>7355.9900000000007</v>
      </c>
      <c r="J22" s="303"/>
      <c r="K22" s="14"/>
      <c r="L22" s="14"/>
      <c r="M22" s="14"/>
      <c r="N22" s="14"/>
    </row>
    <row r="23" spans="1:14" x14ac:dyDescent="0.2">
      <c r="A23" s="308">
        <f t="shared" si="1"/>
        <v>10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3478.0000000000005</v>
      </c>
      <c r="G23" s="308"/>
      <c r="H23" s="307" t="s">
        <v>249</v>
      </c>
      <c r="I23" s="312">
        <f>I25-SUM(I15:I22)</f>
        <v>21877.559999999823</v>
      </c>
      <c r="J23" s="303"/>
      <c r="K23" s="14"/>
      <c r="L23" s="14"/>
      <c r="M23" s="14"/>
      <c r="N23" s="14"/>
    </row>
    <row r="24" spans="1:14" x14ac:dyDescent="0.2">
      <c r="A24" s="308">
        <f t="shared" si="1"/>
        <v>7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12397.36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36750</v>
      </c>
      <c r="G25" s="308"/>
      <c r="H25" s="307" t="s">
        <v>192</v>
      </c>
      <c r="I25" s="312">
        <f>D43</f>
        <v>1721548</v>
      </c>
      <c r="J25" s="303"/>
      <c r="K25" s="14"/>
      <c r="L25" s="14"/>
      <c r="M25" s="14"/>
      <c r="N25" s="14"/>
    </row>
    <row r="26" spans="1:14" x14ac:dyDescent="0.2">
      <c r="A26" s="308">
        <f t="shared" si="1"/>
        <v>14</v>
      </c>
      <c r="B26" s="267" t="s">
        <v>237</v>
      </c>
      <c r="C26" s="266" t="s">
        <v>238</v>
      </c>
      <c r="D26" s="9">
        <f>'Obligations vs Bgt'!E26</f>
        <v>1885.6699999999998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12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2345.4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3206.93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19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16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211.89999999999998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9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7053.4499999999989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2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200381.53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19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19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0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3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88085.079999999987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19</v>
      </c>
      <c r="B36" s="267" t="s">
        <v>40</v>
      </c>
      <c r="C36" s="266" t="s">
        <v>146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19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19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6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21494.880000000001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5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22649.870000000003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19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18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120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192</v>
      </c>
      <c r="D43" s="280">
        <f>SUM(D15:D42)</f>
        <v>1721548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214</v>
      </c>
      <c r="D45" s="283">
        <f>D12-D43</f>
        <v>-89489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215</v>
      </c>
      <c r="D47" s="283">
        <f>D6+D45</f>
        <v>1414662.69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</sheetPr>
  <dimension ref="A1:Y39"/>
  <sheetViews>
    <sheetView zoomScale="80" zoomScaleNormal="80" workbookViewId="0">
      <selection activeCell="V34" sqref="V34"/>
    </sheetView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  <col min="22" max="22" width="13.85546875" customWidth="1"/>
    <col min="23" max="23" width="14.2851562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341</v>
      </c>
      <c r="C2" s="47"/>
      <c r="D2" s="48"/>
      <c r="E2" s="48"/>
      <c r="F2" s="48"/>
      <c r="G2" s="48"/>
      <c r="H2" s="48"/>
      <c r="I2" s="48"/>
      <c r="J2" s="133" t="s">
        <v>328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325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0.75</v>
      </c>
      <c r="W3" s="48"/>
      <c r="X3" s="1"/>
      <c r="Y3" s="1"/>
    </row>
    <row r="4" spans="1:25" ht="15.75" x14ac:dyDescent="0.25">
      <c r="A4" s="47" t="s">
        <v>9</v>
      </c>
      <c r="B4" s="47" t="s">
        <v>294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47.2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327</v>
      </c>
      <c r="V5" s="53" t="s">
        <v>31</v>
      </c>
      <c r="W5" s="53" t="s">
        <v>31</v>
      </c>
      <c r="X5" s="1"/>
      <c r="Y5" s="1"/>
    </row>
    <row r="6" spans="1:25" ht="31.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332</v>
      </c>
      <c r="U6" s="53" t="s">
        <v>333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358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3">
        <f t="shared" ref="D11:O11" si="0">SUM(D8:D10)</f>
        <v>0</v>
      </c>
      <c r="E11" s="383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16005.04</v>
      </c>
      <c r="J14" s="70">
        <v>16087.46</v>
      </c>
      <c r="K14" s="70">
        <v>16131.08</v>
      </c>
      <c r="L14" s="70">
        <v>16087.46</v>
      </c>
      <c r="M14" s="70">
        <v>17935</v>
      </c>
      <c r="N14" s="70">
        <v>26901</v>
      </c>
      <c r="O14" s="70">
        <v>17935</v>
      </c>
      <c r="P14" s="70">
        <v>8967</v>
      </c>
      <c r="Q14" s="70">
        <f>'Fcst by Job Class'!S21</f>
        <v>0</v>
      </c>
      <c r="R14" s="70">
        <v>0</v>
      </c>
      <c r="S14" s="70">
        <f t="shared" ref="S14:S18" si="1">SUMIF($D$6:$R$6,$X$2,D14:R14)</f>
        <v>86417.48000000001</v>
      </c>
      <c r="T14" s="70">
        <f t="shared" ref="T14:T18" si="2">SUM(D14:R14)</f>
        <v>158155.48000000001</v>
      </c>
      <c r="U14" s="70">
        <v>233152</v>
      </c>
      <c r="V14" s="71">
        <f>IF(U14=0,0,SUMIF($D$6:$R$6,$X$2,D14:R14)/U14)</f>
        <v>0.37064867554213565</v>
      </c>
      <c r="W14" s="199">
        <f>IF(U14=0,0,T14/U14)</f>
        <v>0.67833636426022514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6</v>
      </c>
      <c r="K17" s="70">
        <v>0</v>
      </c>
      <c r="L17" s="70">
        <v>7.5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f t="shared" si="1"/>
        <v>13.5</v>
      </c>
      <c r="T17" s="70">
        <f t="shared" si="2"/>
        <v>13.5</v>
      </c>
      <c r="U17" s="70">
        <v>24</v>
      </c>
      <c r="V17" s="71">
        <f t="shared" si="3"/>
        <v>0.5625</v>
      </c>
      <c r="W17" s="199">
        <f t="shared" si="4"/>
        <v>0.5625</v>
      </c>
      <c r="X17" s="206"/>
      <c r="Y17" s="317"/>
    </row>
    <row r="18" spans="1:25" ht="15" x14ac:dyDescent="0.2">
      <c r="A18" s="320" t="s">
        <v>148</v>
      </c>
      <c r="B18" s="320" t="s">
        <v>149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4"/>
      <c r="H19" s="404"/>
      <c r="I19" s="404"/>
      <c r="J19" s="70"/>
      <c r="K19" s="404"/>
      <c r="L19" s="404"/>
      <c r="M19" s="405"/>
      <c r="N19" s="404"/>
      <c r="O19" s="404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16005.04</v>
      </c>
      <c r="J20" s="91">
        <f t="shared" si="5"/>
        <v>16093.46</v>
      </c>
      <c r="K20" s="91">
        <f t="shared" si="5"/>
        <v>16131.08</v>
      </c>
      <c r="L20" s="91">
        <f t="shared" si="5"/>
        <v>16094.96</v>
      </c>
      <c r="M20" s="91">
        <f t="shared" si="5"/>
        <v>17935</v>
      </c>
      <c r="N20" s="91">
        <f t="shared" si="5"/>
        <v>26901</v>
      </c>
      <c r="O20" s="91">
        <f t="shared" si="5"/>
        <v>17935</v>
      </c>
      <c r="P20" s="91">
        <f t="shared" si="5"/>
        <v>8967</v>
      </c>
      <c r="Q20" s="91">
        <f t="shared" si="5"/>
        <v>0</v>
      </c>
      <c r="R20" s="91">
        <f t="shared" si="5"/>
        <v>0</v>
      </c>
      <c r="S20" s="91">
        <f t="shared" si="5"/>
        <v>86430.98000000001</v>
      </c>
      <c r="T20" s="91">
        <f t="shared" si="5"/>
        <v>158168.98000000001</v>
      </c>
      <c r="U20" s="91">
        <f t="shared" si="5"/>
        <v>239176</v>
      </c>
      <c r="V20" s="92">
        <f>SUMIF($D$6:$R$6,$X$2,D20:R20)/U20</f>
        <v>0.3613697862661806</v>
      </c>
      <c r="W20" s="202">
        <f>T20/U20</f>
        <v>0.66130790714787446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3">
        <f t="shared" ref="D23:U23" si="6">D11-D20</f>
        <v>0</v>
      </c>
      <c r="E23" s="383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-16005.04</v>
      </c>
      <c r="J23" s="91">
        <f t="shared" si="6"/>
        <v>-16093.46</v>
      </c>
      <c r="K23" s="91">
        <f t="shared" si="6"/>
        <v>-16131.08</v>
      </c>
      <c r="L23" s="91">
        <f t="shared" si="6"/>
        <v>-16094.96</v>
      </c>
      <c r="M23" s="91">
        <f t="shared" si="6"/>
        <v>-17935</v>
      </c>
      <c r="N23" s="91">
        <f t="shared" si="6"/>
        <v>-26901</v>
      </c>
      <c r="O23" s="91">
        <f t="shared" si="6"/>
        <v>-17935</v>
      </c>
      <c r="P23" s="91">
        <f t="shared" si="6"/>
        <v>-8967</v>
      </c>
      <c r="Q23" s="91">
        <f t="shared" si="6"/>
        <v>0</v>
      </c>
      <c r="R23" s="91">
        <f t="shared" si="6"/>
        <v>0</v>
      </c>
      <c r="S23" s="91">
        <f t="shared" si="6"/>
        <v>-86430.98000000001</v>
      </c>
      <c r="T23" s="91">
        <f t="shared" si="6"/>
        <v>-158168.98000000001</v>
      </c>
      <c r="U23" s="91">
        <f t="shared" si="6"/>
        <v>0</v>
      </c>
      <c r="V23" s="409"/>
      <c r="W23" s="209"/>
      <c r="X23" s="184"/>
      <c r="Y23" s="14"/>
    </row>
    <row r="24" spans="1:25" ht="15.75" x14ac:dyDescent="0.2">
      <c r="A24" s="90" t="s">
        <v>312</v>
      </c>
      <c r="B24" s="90"/>
      <c r="C24" s="90"/>
      <c r="D24" s="383"/>
      <c r="E24" s="38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09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4">
        <f>D11-D20</f>
        <v>0</v>
      </c>
      <c r="E25" s="384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-38111.480000000003</v>
      </c>
      <c r="J25" s="130">
        <f>I25+J23-J24</f>
        <v>-54204.94</v>
      </c>
      <c r="K25" s="130">
        <f t="shared" si="7"/>
        <v>-70336.02</v>
      </c>
      <c r="L25" s="130">
        <f t="shared" si="7"/>
        <v>-86430.98000000001</v>
      </c>
      <c r="M25" s="130">
        <f t="shared" si="7"/>
        <v>-104365.98000000001</v>
      </c>
      <c r="N25" s="130">
        <f t="shared" si="7"/>
        <v>-131266.98000000001</v>
      </c>
      <c r="O25" s="130">
        <f t="shared" si="7"/>
        <v>-149201.98000000001</v>
      </c>
      <c r="P25" s="130">
        <f t="shared" si="7"/>
        <v>-158168.98000000001</v>
      </c>
      <c r="Q25" s="130">
        <f t="shared" si="7"/>
        <v>-158168.98000000001</v>
      </c>
      <c r="R25" s="130">
        <f t="shared" si="7"/>
        <v>-158168.98000000001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6" t="s">
        <v>117</v>
      </c>
      <c r="B26" s="407"/>
      <c r="C26" s="407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2"/>
      <c r="U26" s="392"/>
      <c r="V26" s="392"/>
      <c r="W26" s="72"/>
      <c r="X26" s="184"/>
      <c r="Y26" s="106"/>
    </row>
    <row r="27" spans="1:25" ht="36" x14ac:dyDescent="0.25">
      <c r="A27" s="406"/>
      <c r="B27" s="407"/>
      <c r="C27" s="407"/>
      <c r="D27" s="86"/>
      <c r="E27" s="86"/>
      <c r="F27" s="86"/>
      <c r="G27" s="86"/>
      <c r="H27" s="86"/>
      <c r="I27" s="86"/>
      <c r="J27" s="86"/>
      <c r="K27" s="86"/>
      <c r="L27" s="34"/>
      <c r="M27" s="378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2" t="s">
        <v>302</v>
      </c>
      <c r="W27" s="350" t="s">
        <v>303</v>
      </c>
      <c r="X27" s="184"/>
      <c r="Y27" s="106"/>
    </row>
    <row r="28" spans="1:25" ht="18" x14ac:dyDescent="0.25">
      <c r="A28" s="408" t="s">
        <v>240</v>
      </c>
      <c r="B28" s="77"/>
      <c r="C28" s="407"/>
      <c r="D28" s="86"/>
      <c r="E28" s="86"/>
      <c r="F28" s="86"/>
      <c r="G28" s="86"/>
      <c r="H28" s="86"/>
      <c r="I28" s="86"/>
      <c r="J28" s="86"/>
      <c r="K28" s="86"/>
      <c r="L28" s="401"/>
      <c r="M28" s="386"/>
      <c r="N28" s="85"/>
      <c r="O28" s="85"/>
      <c r="P28" s="388" t="s">
        <v>343</v>
      </c>
      <c r="Q28" s="176" t="s">
        <v>300</v>
      </c>
      <c r="R28" s="342"/>
      <c r="S28" s="343"/>
      <c r="T28" s="174" t="s">
        <v>342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7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2"/>
      <c r="P29" s="346" t="s">
        <v>346</v>
      </c>
      <c r="Q29" s="176" t="s">
        <v>300</v>
      </c>
      <c r="R29" s="342"/>
      <c r="S29" s="343"/>
      <c r="T29" s="368" t="s">
        <v>366</v>
      </c>
      <c r="U29" s="369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7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7"/>
      <c r="O30" s="402"/>
      <c r="P30" s="389"/>
      <c r="Q30" s="390"/>
      <c r="R30" s="73"/>
      <c r="S30" s="369"/>
      <c r="T30" s="78"/>
      <c r="U30" s="369"/>
      <c r="V30" s="79"/>
      <c r="W30" s="391"/>
      <c r="X30" s="184"/>
      <c r="Y30" s="106"/>
    </row>
    <row r="31" spans="1:25" ht="18" x14ac:dyDescent="0.25">
      <c r="A31" s="406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7"/>
      <c r="O31" s="368"/>
      <c r="P31" s="389"/>
      <c r="Q31" s="390"/>
      <c r="R31" s="73"/>
      <c r="S31" s="369"/>
      <c r="T31" s="78" t="s">
        <v>301</v>
      </c>
      <c r="U31" s="369"/>
      <c r="V31" s="79">
        <f>SUM(V28:V30)</f>
        <v>2</v>
      </c>
      <c r="W31" s="391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357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7"/>
      <c r="O32" s="368"/>
      <c r="P32" s="394"/>
      <c r="Q32" s="395"/>
      <c r="R32" s="396"/>
      <c r="S32" s="397"/>
      <c r="T32" s="398"/>
      <c r="U32" s="397"/>
      <c r="V32" s="399"/>
      <c r="W32" s="400"/>
      <c r="X32" s="184"/>
      <c r="Y32" s="14"/>
    </row>
    <row r="33" spans="1:25" ht="18" x14ac:dyDescent="0.25">
      <c r="A33" s="171">
        <v>202</v>
      </c>
      <c r="B33" s="75" t="s">
        <v>344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7"/>
      <c r="O33" s="368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345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7"/>
      <c r="O34" s="403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360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69"/>
      <c r="T35" s="368"/>
      <c r="U35" s="369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347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2"/>
      <c r="U36" s="392"/>
      <c r="V36" s="392"/>
      <c r="W36" s="393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2"/>
      <c r="U37" s="392"/>
      <c r="V37" s="392"/>
      <c r="W37" s="393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2"/>
      <c r="U38" s="392"/>
      <c r="V38" s="392"/>
      <c r="W38" s="393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135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167</v>
      </c>
      <c r="C4" s="49" t="s">
        <v>136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281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189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190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295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189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190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230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189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190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231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189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190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168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169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170</v>
      </c>
      <c r="B4" s="247" t="s">
        <v>171</v>
      </c>
      <c r="C4" s="248" t="s">
        <v>2</v>
      </c>
      <c r="D4" s="249" t="s">
        <v>172</v>
      </c>
      <c r="E4" s="247" t="s">
        <v>173</v>
      </c>
      <c r="F4" s="250" t="s">
        <v>174</v>
      </c>
      <c r="G4" s="250" t="s">
        <v>175</v>
      </c>
      <c r="H4" s="250" t="s">
        <v>176</v>
      </c>
      <c r="I4" s="250" t="s">
        <v>177</v>
      </c>
      <c r="J4" s="250" t="s">
        <v>178</v>
      </c>
      <c r="K4" s="250" t="s">
        <v>179</v>
      </c>
      <c r="L4" s="250" t="s">
        <v>180</v>
      </c>
      <c r="M4" s="250" t="s">
        <v>181</v>
      </c>
      <c r="N4" s="250" t="s">
        <v>182</v>
      </c>
      <c r="O4" s="250" t="s">
        <v>183</v>
      </c>
      <c r="P4" s="250" t="s">
        <v>184</v>
      </c>
      <c r="Q4" s="250" t="s">
        <v>185</v>
      </c>
      <c r="R4" s="250" t="s">
        <v>25</v>
      </c>
      <c r="S4" s="250" t="s">
        <v>26</v>
      </c>
      <c r="T4" s="250" t="s">
        <v>186</v>
      </c>
    </row>
    <row r="5" spans="1:22" ht="15.75" x14ac:dyDescent="0.25">
      <c r="A5" s="251" t="s">
        <v>129</v>
      </c>
      <c r="B5" s="252" t="s">
        <v>246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153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154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287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156</v>
      </c>
      <c r="B9" s="258" t="s">
        <v>155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236</v>
      </c>
      <c r="B10" s="258" t="s">
        <v>242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300</v>
      </c>
      <c r="B11" s="258" t="s">
        <v>322</v>
      </c>
      <c r="C11" s="262">
        <v>9397</v>
      </c>
      <c r="D11" s="263">
        <v>1</v>
      </c>
      <c r="E11" s="259">
        <v>100000</v>
      </c>
      <c r="F11" s="365">
        <v>0</v>
      </c>
      <c r="G11" s="365">
        <v>0</v>
      </c>
      <c r="H11" s="365">
        <v>0</v>
      </c>
      <c r="I11" s="365">
        <v>0</v>
      </c>
      <c r="J11" s="365">
        <v>0</v>
      </c>
      <c r="K11" s="365">
        <v>0</v>
      </c>
      <c r="L11" s="365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157</v>
      </c>
      <c r="B12" s="255" t="s">
        <v>310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157</v>
      </c>
      <c r="B13" s="258" t="s">
        <v>324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5">
        <v>0</v>
      </c>
      <c r="R13" s="365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157</v>
      </c>
      <c r="B14" s="258" t="s">
        <v>278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157</v>
      </c>
      <c r="B15" s="255" t="s">
        <v>159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160</v>
      </c>
      <c r="B16" s="255" t="s">
        <v>158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162</v>
      </c>
      <c r="B17" s="255" t="s">
        <v>161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163</v>
      </c>
      <c r="B18" s="255" t="s">
        <v>286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164</v>
      </c>
      <c r="B19" s="255" t="s">
        <v>254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285</v>
      </c>
      <c r="B20" s="255" t="s">
        <v>296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248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247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2025-04-11 BOEE Tab C</dc:title>
  <dc:creator>Randall.Lagerblade@iowa.gov</dc:creator>
  <cp:lastModifiedBy>Albers, Lisa [IDOE]</cp:lastModifiedBy>
  <cp:lastPrinted>2024-09-05T21:15:09Z</cp:lastPrinted>
  <dcterms:created xsi:type="dcterms:W3CDTF">2015-04-28T12:49:55Z</dcterms:created>
  <dcterms:modified xsi:type="dcterms:W3CDTF">2025-04-07T19:53:37Z</dcterms:modified>
</cp:coreProperties>
</file>