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oards, Councils &amp; Task Forces\Board of Educational Examiners\"/>
    </mc:Choice>
  </mc:AlternateContent>
  <xr:revisionPtr revIDLastSave="0" documentId="8_{747B0FE8-8BF4-4F91-A074-F53826111A5E}" xr6:coauthVersionLast="36" xr6:coauthVersionMax="36" xr10:uidLastSave="{00000000-0000-0000-0000-000000000000}"/>
  <bookViews>
    <workbookView xWindow="0" yWindow="0" windowWidth="28800" windowHeight="12105" activeTab="9" xr2:uid="{00000000-000D-0000-FFFF-FFFF00000000}"/>
  </bookViews>
  <sheets>
    <sheet name="Mgmnt Letter" sheetId="6" r:id="rId1"/>
    <sheet name="Summary Rollup" sheetId="1" state="hidden" r:id="rId2"/>
    <sheet name="9397 BOEE" sheetId="3" r:id="rId3"/>
    <sheet name="2217 Teachers Certs Clearing" sheetId="4" state="hidden" r:id="rId4"/>
    <sheet name="Receipts by MO" sheetId="9" r:id="rId5"/>
    <sheet name="Receipts" sheetId="8" r:id="rId6"/>
    <sheet name="Expenditures All" sheetId="10" state="hidden" r:id="rId7"/>
    <sheet name="Expenditures" sheetId="12" r:id="rId8"/>
    <sheet name="Obligations vs Bgt" sheetId="11" r:id="rId9"/>
    <sheet name="Expenditures Graph Data" sheetId="13" r:id="rId10"/>
    <sheet name="9500 BOEE" sheetId="15" r:id="rId11"/>
    <sheet name="Revenue Forecast" sheetId="14" state="hidden" r:id="rId12"/>
    <sheet name="Fcst by Job Class" sheetId="7" state="hidden" r:id="rId13"/>
    <sheet name="Blank Template" sheetId="5" state="hidden" r:id="rId14"/>
  </sheets>
  <definedNames>
    <definedName name="Boe_Step3" localSheetId="9">#REF!</definedName>
    <definedName name="Boe_Step3" localSheetId="11">#REF!</definedName>
    <definedName name="Boe_Step3">#REF!</definedName>
    <definedName name="_xlnm.Print_Area" localSheetId="3">'2217 Teachers Certs Clearing'!$A$1:$W$38</definedName>
    <definedName name="_xlnm.Print_Area" localSheetId="2">'9397 BOEE'!$A$1:$W$77</definedName>
    <definedName name="_xlnm.Print_Area" localSheetId="13">'Blank Template'!$A$1:$W$59</definedName>
    <definedName name="_xlnm.Print_Area" localSheetId="9">'Expenditures Graph Data'!$B$1:$J$51</definedName>
    <definedName name="_xlnm.Print_Area" localSheetId="0">'Mgmnt Letter'!$A$1:$R$48</definedName>
    <definedName name="_xlnm.Print_Area" localSheetId="8">'Obligations vs Bgt'!$A$1:$I$47</definedName>
    <definedName name="_xlnm.Print_Area" localSheetId="1">'Summary Rollup'!$A$1:$W$58</definedName>
    <definedName name="_xlnm.Print_Titles" localSheetId="3">'2217 Teachers Certs Clearing'!$1:$6</definedName>
    <definedName name="_xlnm.Print_Titles" localSheetId="2">'9397 BOEE'!$1:$4</definedName>
    <definedName name="_xlnm.Print_Titles" localSheetId="13">'Blank Template'!$1:$6</definedName>
    <definedName name="_xlnm.Print_Titles" localSheetId="1">'Summary Rollup'!$1:$7</definedName>
  </definedNames>
  <calcPr calcId="191029"/>
</workbook>
</file>

<file path=xl/calcChain.xml><?xml version="1.0" encoding="utf-8"?>
<calcChain xmlns="http://schemas.openxmlformats.org/spreadsheetml/2006/main">
  <c r="W31" i="15" l="1"/>
  <c r="V31" i="15"/>
  <c r="U20" i="15" l="1"/>
  <c r="R20" i="15"/>
  <c r="P20" i="15"/>
  <c r="P23" i="15" s="1"/>
  <c r="O20" i="15"/>
  <c r="N20" i="15"/>
  <c r="M20" i="15"/>
  <c r="L20" i="15"/>
  <c r="K20" i="15"/>
  <c r="J20" i="15"/>
  <c r="I20" i="15"/>
  <c r="H20" i="15"/>
  <c r="G20" i="15"/>
  <c r="F20" i="15"/>
  <c r="E20" i="15"/>
  <c r="D20" i="15"/>
  <c r="V18" i="15"/>
  <c r="T18" i="15"/>
  <c r="W18" i="15" s="1"/>
  <c r="S18" i="15"/>
  <c r="V17" i="15"/>
  <c r="T17" i="15"/>
  <c r="W17" i="15" s="1"/>
  <c r="S17" i="15"/>
  <c r="V16" i="15"/>
  <c r="T16" i="15"/>
  <c r="W16" i="15" s="1"/>
  <c r="S16" i="15"/>
  <c r="V15" i="15"/>
  <c r="T15" i="15"/>
  <c r="W15" i="15" s="1"/>
  <c r="S15" i="15"/>
  <c r="V14" i="15"/>
  <c r="S14" i="15"/>
  <c r="Q14" i="15"/>
  <c r="Q20" i="15" s="1"/>
  <c r="Q23" i="15" s="1"/>
  <c r="U11" i="15"/>
  <c r="R11" i="15"/>
  <c r="R23" i="15" s="1"/>
  <c r="O11" i="15"/>
  <c r="M11" i="15"/>
  <c r="L11" i="15"/>
  <c r="K11" i="15"/>
  <c r="J11" i="15"/>
  <c r="I11" i="15"/>
  <c r="H11" i="15"/>
  <c r="G11" i="15"/>
  <c r="F11" i="15"/>
  <c r="E11" i="15"/>
  <c r="D11" i="15"/>
  <c r="V9" i="15"/>
  <c r="S9" i="15"/>
  <c r="N9" i="15"/>
  <c r="N11" i="15" s="1"/>
  <c r="V3" i="15"/>
  <c r="I23" i="15" l="1"/>
  <c r="K23" i="15"/>
  <c r="J23" i="15"/>
  <c r="O23" i="15"/>
  <c r="N23" i="15"/>
  <c r="F23" i="15"/>
  <c r="U25" i="15"/>
  <c r="M23" i="15"/>
  <c r="E23" i="15"/>
  <c r="H23" i="15"/>
  <c r="T14" i="15"/>
  <c r="W14" i="15" s="1"/>
  <c r="T9" i="15"/>
  <c r="W9" i="15" s="1"/>
  <c r="G23" i="15"/>
  <c r="V20" i="15"/>
  <c r="L23" i="15"/>
  <c r="S20" i="15"/>
  <c r="S11" i="15"/>
  <c r="D25" i="15"/>
  <c r="D23" i="15"/>
  <c r="V11" i="15"/>
  <c r="U23" i="15"/>
  <c r="K46" i="9"/>
  <c r="S46" i="9" s="1"/>
  <c r="S40" i="9"/>
  <c r="P39" i="9"/>
  <c r="P43" i="9" s="1"/>
  <c r="S38" i="9"/>
  <c r="Q43" i="9"/>
  <c r="Q50" i="9" s="1"/>
  <c r="M43" i="9"/>
  <c r="I43" i="9"/>
  <c r="I50" i="9" s="1"/>
  <c r="E43" i="9"/>
  <c r="E50" i="9" s="1"/>
  <c r="S39" i="9"/>
  <c r="S41" i="9"/>
  <c r="F43" i="9"/>
  <c r="G43" i="9"/>
  <c r="H43" i="9"/>
  <c r="J43" i="9"/>
  <c r="J50" i="9" s="1"/>
  <c r="K43" i="9"/>
  <c r="L43" i="9"/>
  <c r="N43" i="9"/>
  <c r="O43" i="9"/>
  <c r="R43" i="9"/>
  <c r="R50" i="9" s="1"/>
  <c r="S45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E25" i="15" l="1"/>
  <c r="F25" i="15" s="1"/>
  <c r="T11" i="15"/>
  <c r="T20" i="15"/>
  <c r="W20" i="15" s="1"/>
  <c r="S23" i="15"/>
  <c r="G25" i="15"/>
  <c r="H25" i="15" s="1"/>
  <c r="I25" i="15" s="1"/>
  <c r="J25" i="15" s="1"/>
  <c r="K25" i="15" s="1"/>
  <c r="L25" i="15" s="1"/>
  <c r="M25" i="15" s="1"/>
  <c r="N25" i="15" s="1"/>
  <c r="O25" i="15" s="1"/>
  <c r="P25" i="15" s="1"/>
  <c r="Q25" i="15" s="1"/>
  <c r="R25" i="15" s="1"/>
  <c r="W11" i="15"/>
  <c r="N50" i="9"/>
  <c r="P50" i="9"/>
  <c r="O50" i="9"/>
  <c r="M50" i="9"/>
  <c r="L50" i="9"/>
  <c r="H50" i="9"/>
  <c r="G50" i="9"/>
  <c r="S48" i="9"/>
  <c r="K50" i="9"/>
  <c r="F50" i="9"/>
  <c r="S43" i="9"/>
  <c r="D43" i="9"/>
  <c r="D50" i="9" s="1"/>
  <c r="T23" i="15" l="1"/>
  <c r="S50" i="9"/>
  <c r="N12" i="9" l="1"/>
  <c r="G22" i="11" l="1"/>
  <c r="G36" i="11" l="1"/>
  <c r="B36" i="11"/>
  <c r="A36" i="11"/>
  <c r="V40" i="3" l="1"/>
  <c r="S40" i="3"/>
  <c r="C36" i="11" s="1"/>
  <c r="T40" i="3"/>
  <c r="W40" i="3" s="1"/>
  <c r="E36" i="11" l="1"/>
  <c r="H36" i="11"/>
  <c r="I36" i="11" l="1"/>
  <c r="D36" i="13"/>
  <c r="J12" i="7"/>
  <c r="R13" i="9" l="1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S13" i="9" l="1"/>
  <c r="G48" i="3"/>
  <c r="V13" i="3"/>
  <c r="T13" i="3"/>
  <c r="W13" i="3" s="1"/>
  <c r="S13" i="3"/>
  <c r="F48" i="3" l="1"/>
  <c r="T11" i="7" l="1"/>
  <c r="M11" i="7"/>
  <c r="N11" i="7"/>
  <c r="O11" i="7"/>
  <c r="P11" i="7"/>
  <c r="Q11" i="7"/>
  <c r="R11" i="7"/>
  <c r="S11" i="7"/>
  <c r="W71" i="3"/>
  <c r="E12" i="9" l="1"/>
  <c r="N70" i="3" l="1"/>
  <c r="N11" i="3" l="1"/>
  <c r="P12" i="14" l="1"/>
  <c r="P11" i="14"/>
  <c r="P10" i="14"/>
  <c r="O13" i="14" l="1"/>
  <c r="N13" i="14"/>
  <c r="M13" i="14"/>
  <c r="L13" i="14"/>
  <c r="K13" i="14"/>
  <c r="J13" i="14"/>
  <c r="I13" i="14"/>
  <c r="H13" i="14"/>
  <c r="G13" i="14"/>
  <c r="F13" i="14"/>
  <c r="E13" i="14"/>
  <c r="D13" i="14"/>
  <c r="V26" i="3" l="1"/>
  <c r="T26" i="3"/>
  <c r="W26" i="3" s="1"/>
  <c r="S26" i="3"/>
  <c r="C22" i="11" s="1"/>
  <c r="E22" i="11" l="1"/>
  <c r="H22" i="11"/>
  <c r="D22" i="13" l="1"/>
  <c r="I22" i="11"/>
  <c r="G21" i="9"/>
  <c r="G12" i="9"/>
  <c r="D25" i="7" l="1"/>
  <c r="E24" i="7" s="1"/>
  <c r="E23" i="7" l="1"/>
  <c r="E25" i="7" s="1"/>
  <c r="G19" i="11" l="1"/>
  <c r="G26" i="11" l="1"/>
  <c r="T30" i="3" l="1"/>
  <c r="W30" i="3" s="1"/>
  <c r="S30" i="3"/>
  <c r="C26" i="11" s="1"/>
  <c r="E26" i="11" s="1"/>
  <c r="I26" i="11" s="1"/>
  <c r="V30" i="3"/>
  <c r="D26" i="13" l="1"/>
  <c r="H26" i="11"/>
  <c r="V23" i="3"/>
  <c r="T23" i="3"/>
  <c r="W23" i="3" s="1"/>
  <c r="S23" i="3"/>
  <c r="C19" i="11" s="1"/>
  <c r="E19" i="11" s="1"/>
  <c r="D19" i="13" l="1"/>
  <c r="I19" i="11"/>
  <c r="E23" i="14"/>
  <c r="F23" i="14"/>
  <c r="G23" i="14"/>
  <c r="H23" i="14"/>
  <c r="I23" i="14"/>
  <c r="J23" i="14"/>
  <c r="K23" i="14"/>
  <c r="L23" i="14"/>
  <c r="M23" i="14"/>
  <c r="N23" i="14"/>
  <c r="O23" i="14"/>
  <c r="E24" i="14"/>
  <c r="F24" i="14"/>
  <c r="G24" i="14"/>
  <c r="H24" i="14"/>
  <c r="I24" i="14"/>
  <c r="J24" i="14"/>
  <c r="K24" i="14"/>
  <c r="L24" i="14"/>
  <c r="M24" i="14"/>
  <c r="N24" i="14"/>
  <c r="O24" i="14"/>
  <c r="E25" i="14"/>
  <c r="F25" i="14"/>
  <c r="G25" i="14"/>
  <c r="H25" i="14"/>
  <c r="I25" i="14"/>
  <c r="J25" i="14"/>
  <c r="K25" i="14"/>
  <c r="L25" i="14"/>
  <c r="M25" i="14"/>
  <c r="N25" i="14"/>
  <c r="O25" i="14"/>
  <c r="D24" i="14"/>
  <c r="D25" i="14"/>
  <c r="D23" i="14"/>
  <c r="D26" i="14"/>
  <c r="N26" i="14" l="1"/>
  <c r="I26" i="14"/>
  <c r="L26" i="14"/>
  <c r="F26" i="14"/>
  <c r="H26" i="14"/>
  <c r="K26" i="14"/>
  <c r="P25" i="14"/>
  <c r="K32" i="14" s="1"/>
  <c r="J26" i="14"/>
  <c r="M26" i="14"/>
  <c r="P24" i="14"/>
  <c r="F31" i="14" s="1"/>
  <c r="P23" i="14"/>
  <c r="G30" i="14" s="1"/>
  <c r="O26" i="14"/>
  <c r="G26" i="14"/>
  <c r="E26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M30" i="14" l="1"/>
  <c r="K30" i="14"/>
  <c r="P26" i="14"/>
  <c r="N33" i="14" s="1"/>
  <c r="I31" i="14"/>
  <c r="I32" i="14"/>
  <c r="J31" i="14"/>
  <c r="D32" i="14"/>
  <c r="N30" i="14"/>
  <c r="K31" i="14"/>
  <c r="O32" i="14"/>
  <c r="G32" i="14"/>
  <c r="O33" i="14"/>
  <c r="F30" i="14"/>
  <c r="J30" i="14"/>
  <c r="I30" i="14"/>
  <c r="H30" i="14"/>
  <c r="E30" i="14"/>
  <c r="H32" i="14"/>
  <c r="D30" i="14"/>
  <c r="E32" i="14"/>
  <c r="L32" i="14"/>
  <c r="M32" i="14"/>
  <c r="J32" i="14"/>
  <c r="M31" i="14"/>
  <c r="N32" i="14"/>
  <c r="D31" i="14"/>
  <c r="G31" i="14"/>
  <c r="O31" i="14"/>
  <c r="H31" i="14"/>
  <c r="E31" i="14"/>
  <c r="L30" i="14"/>
  <c r="O30" i="14"/>
  <c r="N31" i="14"/>
  <c r="F32" i="14"/>
  <c r="L31" i="14"/>
  <c r="D33" i="14"/>
  <c r="P18" i="14"/>
  <c r="P17" i="14"/>
  <c r="P16" i="14"/>
  <c r="J33" i="14" l="1"/>
  <c r="L33" i="14"/>
  <c r="G33" i="14"/>
  <c r="M33" i="14"/>
  <c r="F33" i="14"/>
  <c r="H33" i="14"/>
  <c r="K33" i="14"/>
  <c r="I33" i="14"/>
  <c r="E33" i="14"/>
  <c r="P31" i="14"/>
  <c r="P30" i="14"/>
  <c r="P32" i="14"/>
  <c r="P19" i="14"/>
  <c r="P13" i="14"/>
  <c r="U16" i="3"/>
  <c r="R16" i="3"/>
  <c r="O16" i="3"/>
  <c r="N16" i="3"/>
  <c r="M16" i="3"/>
  <c r="L16" i="3"/>
  <c r="K16" i="3"/>
  <c r="J16" i="3"/>
  <c r="I16" i="3"/>
  <c r="H16" i="3"/>
  <c r="G16" i="3"/>
  <c r="F16" i="3"/>
  <c r="E16" i="3"/>
  <c r="D16" i="3"/>
  <c r="P33" i="14" l="1"/>
  <c r="C42" i="13"/>
  <c r="B42" i="13"/>
  <c r="C41" i="13"/>
  <c r="B41" i="13"/>
  <c r="C40" i="13"/>
  <c r="B40" i="13"/>
  <c r="C39" i="13"/>
  <c r="B39" i="13"/>
  <c r="C38" i="13"/>
  <c r="B38" i="13"/>
  <c r="C37" i="13"/>
  <c r="B37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5" i="13"/>
  <c r="B25" i="13"/>
  <c r="C24" i="13"/>
  <c r="B24" i="13"/>
  <c r="C23" i="13"/>
  <c r="B23" i="13"/>
  <c r="C21" i="13"/>
  <c r="B21" i="13"/>
  <c r="C20" i="13"/>
  <c r="B20" i="13"/>
  <c r="C18" i="13"/>
  <c r="B18" i="13"/>
  <c r="C17" i="13"/>
  <c r="B17" i="13"/>
  <c r="C16" i="13"/>
  <c r="B16" i="13"/>
  <c r="C15" i="13"/>
  <c r="B15" i="13"/>
  <c r="C10" i="13"/>
  <c r="B10" i="13"/>
  <c r="C9" i="13"/>
  <c r="B9" i="13"/>
  <c r="C8" i="13"/>
  <c r="B8" i="13"/>
  <c r="R21" i="9" l="1"/>
  <c r="Q21" i="9"/>
  <c r="P21" i="9"/>
  <c r="O21" i="9"/>
  <c r="N21" i="9"/>
  <c r="M21" i="9"/>
  <c r="L21" i="9"/>
  <c r="K21" i="9"/>
  <c r="J21" i="9"/>
  <c r="I21" i="9"/>
  <c r="H21" i="9"/>
  <c r="F21" i="9"/>
  <c r="E21" i="9"/>
  <c r="D21" i="9"/>
  <c r="S19" i="9"/>
  <c r="S18" i="9"/>
  <c r="S21" i="9" l="1"/>
  <c r="G6" i="11" l="1"/>
  <c r="M16" i="11"/>
  <c r="M15" i="11"/>
  <c r="M14" i="11"/>
  <c r="M13" i="11"/>
  <c r="M12" i="11"/>
  <c r="M11" i="11"/>
  <c r="M10" i="11"/>
  <c r="M9" i="11"/>
  <c r="M8" i="11"/>
  <c r="M7" i="11"/>
  <c r="M6" i="11"/>
  <c r="M5" i="11"/>
  <c r="D12" i="11"/>
  <c r="D11" i="11"/>
  <c r="S8" i="3"/>
  <c r="C6" i="11" l="1"/>
  <c r="E6" i="11" s="1"/>
  <c r="D6" i="13" s="1"/>
  <c r="T8" i="3"/>
  <c r="D43" i="11" l="1"/>
  <c r="G42" i="11"/>
  <c r="G41" i="11"/>
  <c r="G40" i="11"/>
  <c r="G39" i="11"/>
  <c r="G38" i="11"/>
  <c r="G37" i="11"/>
  <c r="G35" i="11"/>
  <c r="G34" i="11"/>
  <c r="G33" i="11"/>
  <c r="G32" i="11"/>
  <c r="G31" i="11"/>
  <c r="G30" i="11"/>
  <c r="G29" i="11"/>
  <c r="G28" i="11"/>
  <c r="G27" i="11"/>
  <c r="G25" i="11"/>
  <c r="G24" i="11"/>
  <c r="G23" i="11"/>
  <c r="G21" i="11"/>
  <c r="G20" i="11"/>
  <c r="G18" i="11"/>
  <c r="G17" i="11"/>
  <c r="G16" i="11"/>
  <c r="G15" i="11"/>
  <c r="G10" i="11"/>
  <c r="G9" i="11"/>
  <c r="G8" i="11"/>
  <c r="A16" i="11"/>
  <c r="B16" i="11"/>
  <c r="A17" i="11"/>
  <c r="B17" i="11"/>
  <c r="A18" i="11"/>
  <c r="B18" i="11"/>
  <c r="A20" i="11"/>
  <c r="B20" i="11"/>
  <c r="A21" i="11"/>
  <c r="B21" i="11"/>
  <c r="A23" i="11"/>
  <c r="B23" i="11"/>
  <c r="A24" i="11"/>
  <c r="B24" i="11"/>
  <c r="A25" i="11"/>
  <c r="B25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B15" i="11"/>
  <c r="A15" i="11"/>
  <c r="B10" i="11"/>
  <c r="B9" i="11"/>
  <c r="B8" i="11"/>
  <c r="A9" i="11"/>
  <c r="A10" i="11"/>
  <c r="A8" i="11"/>
  <c r="G12" i="11" l="1"/>
  <c r="G11" i="11"/>
  <c r="G43" i="11"/>
  <c r="T9" i="3"/>
  <c r="F19" i="6" s="1"/>
  <c r="S9" i="3"/>
  <c r="E11" i="9" l="1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F12" i="9"/>
  <c r="I12" i="9"/>
  <c r="J12" i="9"/>
  <c r="K12" i="9"/>
  <c r="L12" i="9"/>
  <c r="M12" i="9"/>
  <c r="O12" i="9"/>
  <c r="P12" i="9"/>
  <c r="Q12" i="9"/>
  <c r="R12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D12" i="9"/>
  <c r="D14" i="9"/>
  <c r="D11" i="9"/>
  <c r="S14" i="9" l="1"/>
  <c r="G16" i="9"/>
  <c r="G23" i="9" s="1"/>
  <c r="O16" i="9"/>
  <c r="O23" i="9" s="1"/>
  <c r="K16" i="9"/>
  <c r="K23" i="9" s="1"/>
  <c r="S11" i="9"/>
  <c r="D16" i="9"/>
  <c r="D23" i="9" s="1"/>
  <c r="P16" i="9"/>
  <c r="P23" i="9" s="1"/>
  <c r="L16" i="9"/>
  <c r="L23" i="9" s="1"/>
  <c r="H16" i="9"/>
  <c r="H23" i="9" s="1"/>
  <c r="R16" i="9"/>
  <c r="R23" i="9" s="1"/>
  <c r="N16" i="9"/>
  <c r="N23" i="9" s="1"/>
  <c r="J16" i="9"/>
  <c r="J23" i="9" s="1"/>
  <c r="F16" i="9"/>
  <c r="F23" i="9" s="1"/>
  <c r="Q16" i="9"/>
  <c r="Q23" i="9" s="1"/>
  <c r="M16" i="9"/>
  <c r="M23" i="9" s="1"/>
  <c r="I16" i="9"/>
  <c r="I23" i="9" s="1"/>
  <c r="E16" i="9"/>
  <c r="E23" i="9" s="1"/>
  <c r="S12" i="9"/>
  <c r="V45" i="3"/>
  <c r="T45" i="3"/>
  <c r="W45" i="3" s="1"/>
  <c r="S45" i="3"/>
  <c r="V24" i="3"/>
  <c r="T24" i="3"/>
  <c r="W24" i="3" s="1"/>
  <c r="S24" i="3"/>
  <c r="O25" i="9" l="1"/>
  <c r="N25" i="9"/>
  <c r="M25" i="9"/>
  <c r="L25" i="9"/>
  <c r="J25" i="9"/>
  <c r="K25" i="9"/>
  <c r="I25" i="9"/>
  <c r="G25" i="9"/>
  <c r="F25" i="9"/>
  <c r="E25" i="9"/>
  <c r="D25" i="9"/>
  <c r="H25" i="9"/>
  <c r="C41" i="11"/>
  <c r="E41" i="11" s="1"/>
  <c r="I41" i="11" s="1"/>
  <c r="C20" i="11"/>
  <c r="H20" i="11" s="1"/>
  <c r="S16" i="9"/>
  <c r="S23" i="9" s="1"/>
  <c r="R48" i="3"/>
  <c r="R51" i="3" s="1"/>
  <c r="D41" i="13" l="1"/>
  <c r="H41" i="11"/>
  <c r="E20" i="11"/>
  <c r="I20" i="11" s="1"/>
  <c r="D21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T1" i="7"/>
  <c r="Q19" i="7" l="1"/>
  <c r="Q15" i="7"/>
  <c r="Q10" i="7"/>
  <c r="Q6" i="7"/>
  <c r="Q18" i="7"/>
  <c r="Q5" i="7"/>
  <c r="Q16" i="7"/>
  <c r="Q12" i="7"/>
  <c r="Q7" i="7"/>
  <c r="Q14" i="7"/>
  <c r="Q9" i="7"/>
  <c r="Q17" i="7"/>
  <c r="Q8" i="7"/>
  <c r="Q20" i="7"/>
  <c r="R14" i="7"/>
  <c r="R10" i="7"/>
  <c r="R16" i="7"/>
  <c r="R12" i="7"/>
  <c r="R7" i="7"/>
  <c r="R9" i="7"/>
  <c r="R17" i="7"/>
  <c r="R8" i="7"/>
  <c r="R18" i="7"/>
  <c r="R19" i="7"/>
  <c r="R6" i="7"/>
  <c r="R5" i="7"/>
  <c r="R15" i="7"/>
  <c r="P20" i="7"/>
  <c r="P13" i="7"/>
  <c r="P19" i="7"/>
  <c r="P15" i="7"/>
  <c r="P10" i="7"/>
  <c r="P6" i="7"/>
  <c r="P17" i="7"/>
  <c r="P18" i="7"/>
  <c r="P16" i="7"/>
  <c r="P12" i="7"/>
  <c r="P7" i="7"/>
  <c r="P9" i="7"/>
  <c r="P8" i="7"/>
  <c r="P14" i="7"/>
  <c r="P5" i="7"/>
  <c r="M17" i="7"/>
  <c r="M13" i="7"/>
  <c r="M8" i="7"/>
  <c r="M12" i="7"/>
  <c r="M18" i="7"/>
  <c r="M14" i="7"/>
  <c r="M9" i="7"/>
  <c r="M5" i="7"/>
  <c r="M16" i="7"/>
  <c r="M7" i="7"/>
  <c r="M19" i="7"/>
  <c r="M15" i="7"/>
  <c r="M10" i="7"/>
  <c r="M6" i="7"/>
  <c r="M20" i="7"/>
  <c r="I19" i="7"/>
  <c r="I15" i="7"/>
  <c r="I10" i="7"/>
  <c r="I6" i="7"/>
  <c r="I16" i="7"/>
  <c r="I12" i="7"/>
  <c r="I7" i="7"/>
  <c r="I18" i="7"/>
  <c r="I5" i="7"/>
  <c r="I20" i="7"/>
  <c r="I14" i="7"/>
  <c r="I17" i="7"/>
  <c r="I13" i="7"/>
  <c r="I8" i="7"/>
  <c r="I9" i="7"/>
  <c r="N18" i="7"/>
  <c r="N14" i="7"/>
  <c r="N9" i="7"/>
  <c r="N5" i="7"/>
  <c r="N17" i="7"/>
  <c r="N13" i="7"/>
  <c r="N19" i="7"/>
  <c r="N15" i="7"/>
  <c r="N10" i="7"/>
  <c r="N6" i="7"/>
  <c r="N12" i="7"/>
  <c r="N7" i="7"/>
  <c r="N8" i="7"/>
  <c r="N16" i="7"/>
  <c r="N20" i="7"/>
  <c r="H17" i="7"/>
  <c r="H18" i="7"/>
  <c r="H19" i="7"/>
  <c r="H15" i="7"/>
  <c r="H10" i="7"/>
  <c r="H6" i="7"/>
  <c r="H5" i="7"/>
  <c r="H13" i="7"/>
  <c r="H16" i="7"/>
  <c r="H12" i="7"/>
  <c r="H7" i="7"/>
  <c r="H8" i="7"/>
  <c r="H20" i="7"/>
  <c r="H14" i="7"/>
  <c r="H9" i="7"/>
  <c r="J6" i="7"/>
  <c r="J16" i="7"/>
  <c r="J7" i="7"/>
  <c r="J5" i="7"/>
  <c r="J18" i="7"/>
  <c r="J10" i="7"/>
  <c r="J17" i="7"/>
  <c r="J13" i="7"/>
  <c r="J8" i="7"/>
  <c r="J15" i="7"/>
  <c r="J20" i="7"/>
  <c r="J14" i="7"/>
  <c r="J9" i="7"/>
  <c r="J19" i="7"/>
  <c r="K16" i="7"/>
  <c r="K12" i="7"/>
  <c r="K7" i="7"/>
  <c r="K17" i="7"/>
  <c r="K13" i="7"/>
  <c r="K8" i="7"/>
  <c r="K20" i="7"/>
  <c r="K19" i="7"/>
  <c r="K6" i="7"/>
  <c r="K18" i="7"/>
  <c r="K14" i="7"/>
  <c r="K9" i="7"/>
  <c r="K5" i="7"/>
  <c r="K15" i="7"/>
  <c r="K10" i="7"/>
  <c r="S16" i="7"/>
  <c r="S12" i="7"/>
  <c r="S7" i="7"/>
  <c r="S17" i="7"/>
  <c r="S13" i="7"/>
  <c r="S8" i="7"/>
  <c r="S15" i="7"/>
  <c r="S10" i="7"/>
  <c r="S6" i="7"/>
  <c r="S18" i="7"/>
  <c r="S14" i="7"/>
  <c r="S9" i="7"/>
  <c r="S5" i="7"/>
  <c r="S19" i="7"/>
  <c r="L17" i="7"/>
  <c r="L13" i="7"/>
  <c r="L8" i="7"/>
  <c r="L20" i="7"/>
  <c r="L6" i="7"/>
  <c r="L16" i="7"/>
  <c r="L18" i="7"/>
  <c r="L14" i="7"/>
  <c r="L9" i="7"/>
  <c r="L5" i="7"/>
  <c r="L19" i="7"/>
  <c r="L15" i="7"/>
  <c r="L10" i="7"/>
  <c r="L12" i="7"/>
  <c r="L7" i="7"/>
  <c r="F20" i="7"/>
  <c r="F12" i="7"/>
  <c r="F7" i="7"/>
  <c r="F8" i="7"/>
  <c r="F18" i="7"/>
  <c r="F14" i="7"/>
  <c r="F9" i="7"/>
  <c r="F5" i="7"/>
  <c r="F19" i="7"/>
  <c r="F15" i="7"/>
  <c r="F10" i="7"/>
  <c r="F6" i="7"/>
  <c r="F17" i="7"/>
  <c r="F13" i="7"/>
  <c r="F16" i="7"/>
  <c r="G18" i="7"/>
  <c r="G14" i="7"/>
  <c r="G9" i="7"/>
  <c r="G5" i="7"/>
  <c r="G13" i="7"/>
  <c r="G8" i="7"/>
  <c r="G19" i="7"/>
  <c r="G15" i="7"/>
  <c r="G10" i="7"/>
  <c r="G6" i="7"/>
  <c r="G20" i="7"/>
  <c r="G16" i="7"/>
  <c r="G12" i="7"/>
  <c r="G7" i="7"/>
  <c r="G17" i="7"/>
  <c r="O20" i="7"/>
  <c r="O18" i="7"/>
  <c r="O14" i="7"/>
  <c r="O9" i="7"/>
  <c r="O5" i="7"/>
  <c r="O17" i="7"/>
  <c r="O19" i="7"/>
  <c r="O15" i="7"/>
  <c r="O10" i="7"/>
  <c r="O6" i="7"/>
  <c r="O8" i="7"/>
  <c r="O16" i="7"/>
  <c r="O12" i="7"/>
  <c r="O7" i="7"/>
  <c r="O13" i="7"/>
  <c r="D20" i="13"/>
  <c r="E21" i="7"/>
  <c r="T2" i="7"/>
  <c r="T19" i="7" l="1"/>
  <c r="T8" i="7"/>
  <c r="P21" i="7"/>
  <c r="Q21" i="7"/>
  <c r="J21" i="7"/>
  <c r="M21" i="7"/>
  <c r="O21" i="7"/>
  <c r="S21" i="7"/>
  <c r="Q19" i="3" s="1"/>
  <c r="N21" i="7"/>
  <c r="K21" i="7"/>
  <c r="I21" i="7"/>
  <c r="H21" i="7"/>
  <c r="G21" i="7"/>
  <c r="F21" i="7"/>
  <c r="R21" i="7"/>
  <c r="L21" i="7"/>
  <c r="T6" i="7"/>
  <c r="T17" i="7"/>
  <c r="T16" i="7"/>
  <c r="T10" i="7"/>
  <c r="T13" i="7"/>
  <c r="T12" i="7"/>
  <c r="T15" i="7"/>
  <c r="T7" i="7"/>
  <c r="T14" i="7"/>
  <c r="T18" i="7"/>
  <c r="T20" i="7"/>
  <c r="T5" i="7"/>
  <c r="T9" i="7"/>
  <c r="T21" i="7" l="1"/>
  <c r="V71" i="3" l="1"/>
  <c r="U46" i="1" l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U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2" i="1"/>
  <c r="R22" i="1"/>
  <c r="Q22" i="1"/>
  <c r="P22" i="1"/>
  <c r="O22" i="1"/>
  <c r="N22" i="1"/>
  <c r="M22" i="1"/>
  <c r="L22" i="1"/>
  <c r="K22" i="1"/>
  <c r="J22" i="1"/>
  <c r="I22" i="1"/>
  <c r="H22" i="1"/>
  <c r="E22" i="1"/>
  <c r="D22" i="1"/>
  <c r="V46" i="1" l="1"/>
  <c r="V43" i="1"/>
  <c r="V26" i="1"/>
  <c r="T39" i="1"/>
  <c r="W39" i="1" s="1"/>
  <c r="T26" i="1"/>
  <c r="W26" i="1" s="1"/>
  <c r="T43" i="1"/>
  <c r="W43" i="1" s="1"/>
  <c r="T44" i="1"/>
  <c r="W44" i="1" s="1"/>
  <c r="T46" i="1"/>
  <c r="W46" i="1" s="1"/>
  <c r="V44" i="1"/>
  <c r="V39" i="1"/>
  <c r="V22" i="1"/>
  <c r="V46" i="3"/>
  <c r="V44" i="3"/>
  <c r="V43" i="3"/>
  <c r="T46" i="3"/>
  <c r="W46" i="3" s="1"/>
  <c r="S46" i="3"/>
  <c r="T44" i="3"/>
  <c r="W44" i="3" s="1"/>
  <c r="S44" i="3"/>
  <c r="T43" i="3"/>
  <c r="W43" i="3" s="1"/>
  <c r="S43" i="3"/>
  <c r="V41" i="3"/>
  <c r="T41" i="3"/>
  <c r="W41" i="3" s="1"/>
  <c r="S41" i="3"/>
  <c r="V37" i="3"/>
  <c r="T37" i="3"/>
  <c r="W37" i="3" s="1"/>
  <c r="S37" i="3"/>
  <c r="V21" i="3"/>
  <c r="T21" i="3"/>
  <c r="W21" i="3" s="1"/>
  <c r="S21" i="3"/>
  <c r="C40" i="11" l="1"/>
  <c r="H40" i="11" s="1"/>
  <c r="C42" i="11"/>
  <c r="E42" i="11" s="1"/>
  <c r="I42" i="11" s="1"/>
  <c r="C17" i="11"/>
  <c r="E17" i="11" s="1"/>
  <c r="I17" i="11" s="1"/>
  <c r="S44" i="1"/>
  <c r="C37" i="11"/>
  <c r="S46" i="1"/>
  <c r="C39" i="11"/>
  <c r="S43" i="1"/>
  <c r="S39" i="1"/>
  <c r="C33" i="11"/>
  <c r="S26" i="1"/>
  <c r="S22" i="1"/>
  <c r="F22" i="1"/>
  <c r="U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5" i="1"/>
  <c r="S14" i="3"/>
  <c r="T14" i="3"/>
  <c r="W14" i="3" s="1"/>
  <c r="V14" i="3"/>
  <c r="E40" i="11" l="1"/>
  <c r="I40" i="11" s="1"/>
  <c r="H17" i="11"/>
  <c r="D17" i="13"/>
  <c r="D42" i="13"/>
  <c r="H42" i="11"/>
  <c r="C10" i="11"/>
  <c r="E10" i="11" s="1"/>
  <c r="D10" i="13" s="1"/>
  <c r="E33" i="11"/>
  <c r="I33" i="11" s="1"/>
  <c r="H33" i="11"/>
  <c r="E37" i="11"/>
  <c r="I37" i="11" s="1"/>
  <c r="H37" i="11"/>
  <c r="E39" i="11"/>
  <c r="I39" i="11" s="1"/>
  <c r="H39" i="11"/>
  <c r="V15" i="1"/>
  <c r="S15" i="1"/>
  <c r="T15" i="1"/>
  <c r="W15" i="1" s="1"/>
  <c r="V3" i="5"/>
  <c r="V3" i="3"/>
  <c r="D40" i="13" l="1"/>
  <c r="D37" i="13"/>
  <c r="D33" i="13"/>
  <c r="D39" i="13"/>
  <c r="P18" i="4"/>
  <c r="K18" i="4" l="1"/>
  <c r="M18" i="4"/>
  <c r="U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D12" i="1"/>
  <c r="V12" i="1" l="1"/>
  <c r="T12" i="1"/>
  <c r="W12" i="1" s="1"/>
  <c r="S12" i="5" l="1"/>
  <c r="T12" i="5"/>
  <c r="W12" i="5" s="1"/>
  <c r="V12" i="5"/>
  <c r="C57" i="5" l="1"/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U21" i="1"/>
  <c r="S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U29" i="1"/>
  <c r="V21" i="1" l="1"/>
  <c r="T21" i="1"/>
  <c r="W21" i="1" s="1"/>
  <c r="V29" i="1"/>
  <c r="T29" i="1"/>
  <c r="W29" i="1" s="1"/>
  <c r="U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D41" i="1"/>
  <c r="V41" i="1" l="1"/>
  <c r="T41" i="1"/>
  <c r="W41" i="1" s="1"/>
  <c r="O48" i="1" l="1"/>
  <c r="P48" i="1"/>
  <c r="Q48" i="1"/>
  <c r="R48" i="1"/>
  <c r="Q20" i="1"/>
  <c r="R20" i="1"/>
  <c r="Q23" i="1"/>
  <c r="R23" i="1"/>
  <c r="Q24" i="1"/>
  <c r="R24" i="1"/>
  <c r="O25" i="1"/>
  <c r="P25" i="1"/>
  <c r="Q25" i="1"/>
  <c r="R25" i="1"/>
  <c r="O27" i="1"/>
  <c r="P27" i="1"/>
  <c r="Q27" i="1"/>
  <c r="R27" i="1"/>
  <c r="O28" i="1"/>
  <c r="P28" i="1"/>
  <c r="Q28" i="1"/>
  <c r="R28" i="1"/>
  <c r="Q30" i="1"/>
  <c r="R30" i="1"/>
  <c r="Q31" i="1"/>
  <c r="R31" i="1"/>
  <c r="O32" i="1"/>
  <c r="P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P36" i="1"/>
  <c r="Q36" i="1"/>
  <c r="R36" i="1"/>
  <c r="Q37" i="1"/>
  <c r="R37" i="1"/>
  <c r="Q38" i="1"/>
  <c r="R38" i="1"/>
  <c r="Q40" i="1"/>
  <c r="R40" i="1"/>
  <c r="R42" i="1"/>
  <c r="O45" i="1"/>
  <c r="P45" i="1"/>
  <c r="Q45" i="1"/>
  <c r="R45" i="1"/>
  <c r="O47" i="1"/>
  <c r="P47" i="1"/>
  <c r="Q47" i="1"/>
  <c r="R47" i="1"/>
  <c r="P19" i="1"/>
  <c r="Q19" i="1"/>
  <c r="R19" i="1"/>
  <c r="O13" i="1"/>
  <c r="P13" i="1"/>
  <c r="Q13" i="1"/>
  <c r="R13" i="1"/>
  <c r="O14" i="1"/>
  <c r="P14" i="1"/>
  <c r="Q14" i="1"/>
  <c r="R14" i="1"/>
  <c r="I25" i="1" l="1"/>
  <c r="J25" i="1"/>
  <c r="K25" i="1"/>
  <c r="L25" i="1"/>
  <c r="M25" i="1"/>
  <c r="I27" i="1"/>
  <c r="J27" i="1"/>
  <c r="K27" i="1"/>
  <c r="L27" i="1"/>
  <c r="M27" i="1"/>
  <c r="I28" i="1"/>
  <c r="J28" i="1"/>
  <c r="K28" i="1"/>
  <c r="L28" i="1"/>
  <c r="M28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45" i="1"/>
  <c r="J45" i="1"/>
  <c r="K45" i="1"/>
  <c r="L45" i="1"/>
  <c r="M45" i="1"/>
  <c r="I47" i="1"/>
  <c r="J47" i="1"/>
  <c r="K47" i="1"/>
  <c r="L47" i="1"/>
  <c r="M47" i="1"/>
  <c r="I48" i="1"/>
  <c r="J48" i="1"/>
  <c r="K48" i="1"/>
  <c r="L48" i="1"/>
  <c r="M48" i="1"/>
  <c r="J19" i="1"/>
  <c r="K19" i="1"/>
  <c r="L19" i="1"/>
  <c r="M19" i="1"/>
  <c r="I13" i="1"/>
  <c r="J13" i="1"/>
  <c r="K13" i="1"/>
  <c r="L13" i="1"/>
  <c r="M13" i="1"/>
  <c r="N13" i="1"/>
  <c r="I14" i="1"/>
  <c r="J14" i="1"/>
  <c r="K14" i="1"/>
  <c r="L14" i="1"/>
  <c r="M14" i="1"/>
  <c r="N14" i="1"/>
  <c r="F18" i="4" l="1"/>
  <c r="U20" i="1" l="1"/>
  <c r="U23" i="1"/>
  <c r="U24" i="1"/>
  <c r="U25" i="1"/>
  <c r="U27" i="1"/>
  <c r="U28" i="1"/>
  <c r="U30" i="1"/>
  <c r="U31" i="1"/>
  <c r="U32" i="1"/>
  <c r="U33" i="1"/>
  <c r="U34" i="1"/>
  <c r="U35" i="1"/>
  <c r="U36" i="1"/>
  <c r="U37" i="1"/>
  <c r="U38" i="1"/>
  <c r="U40" i="1"/>
  <c r="U42" i="1"/>
  <c r="U45" i="1"/>
  <c r="U47" i="1"/>
  <c r="U48" i="1"/>
  <c r="U19" i="1"/>
  <c r="U13" i="1"/>
  <c r="U14" i="1"/>
  <c r="S24" i="5" l="1"/>
  <c r="T24" i="5"/>
  <c r="V24" i="5"/>
  <c r="S41" i="1" l="1"/>
  <c r="D9" i="1"/>
  <c r="V3" i="1" l="1"/>
  <c r="V3" i="4"/>
  <c r="N48" i="1" l="1"/>
  <c r="H48" i="1"/>
  <c r="G48" i="1"/>
  <c r="F48" i="1"/>
  <c r="E48" i="1"/>
  <c r="D48" i="1"/>
  <c r="V48" i="1" s="1"/>
  <c r="N47" i="1"/>
  <c r="H47" i="1"/>
  <c r="G47" i="1"/>
  <c r="F47" i="1"/>
  <c r="E47" i="1"/>
  <c r="D47" i="1"/>
  <c r="N45" i="1"/>
  <c r="H45" i="1"/>
  <c r="G45" i="1"/>
  <c r="F45" i="1"/>
  <c r="E45" i="1"/>
  <c r="D45" i="1"/>
  <c r="E42" i="1"/>
  <c r="D42" i="1"/>
  <c r="D40" i="1"/>
  <c r="E38" i="1"/>
  <c r="D38" i="1"/>
  <c r="E37" i="1"/>
  <c r="D37" i="1"/>
  <c r="N36" i="1"/>
  <c r="H36" i="1"/>
  <c r="G36" i="1"/>
  <c r="F36" i="1"/>
  <c r="E36" i="1"/>
  <c r="D36" i="1"/>
  <c r="N35" i="1"/>
  <c r="H35" i="1"/>
  <c r="G35" i="1"/>
  <c r="F35" i="1"/>
  <c r="E35" i="1"/>
  <c r="D35" i="1"/>
  <c r="N34" i="1"/>
  <c r="H34" i="1"/>
  <c r="G34" i="1"/>
  <c r="F34" i="1"/>
  <c r="E34" i="1"/>
  <c r="D34" i="1"/>
  <c r="N33" i="1"/>
  <c r="H33" i="1"/>
  <c r="G33" i="1"/>
  <c r="F33" i="1"/>
  <c r="E33" i="1"/>
  <c r="D33" i="1"/>
  <c r="N32" i="1"/>
  <c r="H32" i="1"/>
  <c r="G32" i="1"/>
  <c r="F32" i="1"/>
  <c r="E32" i="1"/>
  <c r="D32" i="1"/>
  <c r="D31" i="1"/>
  <c r="E30" i="1"/>
  <c r="D30" i="1"/>
  <c r="N28" i="1"/>
  <c r="H28" i="1"/>
  <c r="G28" i="1"/>
  <c r="F28" i="1"/>
  <c r="E28" i="1"/>
  <c r="D28" i="1"/>
  <c r="N27" i="1"/>
  <c r="H27" i="1"/>
  <c r="G27" i="1"/>
  <c r="F27" i="1"/>
  <c r="E27" i="1"/>
  <c r="D27" i="1"/>
  <c r="N25" i="1"/>
  <c r="H25" i="1"/>
  <c r="G25" i="1"/>
  <c r="F25" i="1"/>
  <c r="E25" i="1"/>
  <c r="D25" i="1"/>
  <c r="D24" i="1"/>
  <c r="E23" i="1"/>
  <c r="D23" i="1"/>
  <c r="E20" i="1"/>
  <c r="D20" i="1"/>
  <c r="O19" i="1"/>
  <c r="N19" i="1"/>
  <c r="I19" i="1"/>
  <c r="H19" i="1"/>
  <c r="G19" i="1"/>
  <c r="F19" i="1"/>
  <c r="E19" i="1"/>
  <c r="D19" i="1"/>
  <c r="E13" i="1"/>
  <c r="H13" i="1"/>
  <c r="E14" i="1"/>
  <c r="F14" i="1"/>
  <c r="G14" i="1"/>
  <c r="H14" i="1"/>
  <c r="D13" i="1"/>
  <c r="V13" i="1" s="1"/>
  <c r="D14" i="1"/>
  <c r="D17" i="1" l="1"/>
  <c r="V14" i="1"/>
  <c r="D50" i="1"/>
  <c r="V42" i="1"/>
  <c r="V47" i="1"/>
  <c r="V27" i="1"/>
  <c r="V32" i="1"/>
  <c r="V36" i="1"/>
  <c r="V45" i="1"/>
  <c r="V34" i="1"/>
  <c r="V19" i="1"/>
  <c r="V25" i="1"/>
  <c r="V28" i="1"/>
  <c r="V33" i="1"/>
  <c r="V35" i="1"/>
  <c r="T32" i="1"/>
  <c r="W32" i="1" s="1"/>
  <c r="T27" i="1"/>
  <c r="W27" i="1" s="1"/>
  <c r="T36" i="1"/>
  <c r="W36" i="1" s="1"/>
  <c r="T34" i="1"/>
  <c r="W34" i="1" s="1"/>
  <c r="T47" i="1"/>
  <c r="W47" i="1" s="1"/>
  <c r="T19" i="1"/>
  <c r="W19" i="1" s="1"/>
  <c r="T25" i="1"/>
  <c r="W25" i="1" s="1"/>
  <c r="T35" i="1"/>
  <c r="W35" i="1" s="1"/>
  <c r="T48" i="1"/>
  <c r="W48" i="1" s="1"/>
  <c r="T28" i="1"/>
  <c r="W28" i="1" s="1"/>
  <c r="T33" i="1"/>
  <c r="W33" i="1" s="1"/>
  <c r="T45" i="1"/>
  <c r="W45" i="1" s="1"/>
  <c r="E40" i="1"/>
  <c r="E24" i="1"/>
  <c r="F24" i="1" l="1"/>
  <c r="I24" i="1"/>
  <c r="F20" i="1"/>
  <c r="G20" i="1"/>
  <c r="H20" i="1"/>
  <c r="I20" i="1"/>
  <c r="J20" i="1"/>
  <c r="K20" i="1"/>
  <c r="L20" i="1"/>
  <c r="M20" i="1"/>
  <c r="N20" i="1"/>
  <c r="O20" i="1"/>
  <c r="P20" i="1"/>
  <c r="F23" i="1"/>
  <c r="G23" i="1"/>
  <c r="H23" i="1"/>
  <c r="I23" i="1"/>
  <c r="J23" i="1"/>
  <c r="K23" i="1"/>
  <c r="L23" i="1"/>
  <c r="M23" i="1"/>
  <c r="N23" i="1"/>
  <c r="O23" i="1"/>
  <c r="P23" i="1"/>
  <c r="V23" i="1" l="1"/>
  <c r="V20" i="1"/>
  <c r="T23" i="1"/>
  <c r="W23" i="1" s="1"/>
  <c r="T20" i="1"/>
  <c r="W20" i="1" s="1"/>
  <c r="F38" i="1"/>
  <c r="G38" i="1"/>
  <c r="H38" i="1"/>
  <c r="I38" i="1"/>
  <c r="J38" i="1"/>
  <c r="K38" i="1"/>
  <c r="L38" i="1"/>
  <c r="M38" i="1"/>
  <c r="N38" i="1"/>
  <c r="O38" i="1"/>
  <c r="P38" i="1"/>
  <c r="F40" i="1"/>
  <c r="G40" i="1"/>
  <c r="H40" i="1"/>
  <c r="I40" i="1"/>
  <c r="J40" i="1"/>
  <c r="K40" i="1"/>
  <c r="L40" i="1"/>
  <c r="M40" i="1"/>
  <c r="N40" i="1"/>
  <c r="O40" i="1"/>
  <c r="P40" i="1"/>
  <c r="F37" i="1"/>
  <c r="G37" i="1"/>
  <c r="H37" i="1"/>
  <c r="I37" i="1"/>
  <c r="J37" i="1"/>
  <c r="K37" i="1"/>
  <c r="L37" i="1"/>
  <c r="M37" i="1"/>
  <c r="N37" i="1"/>
  <c r="O37" i="1"/>
  <c r="P37" i="1"/>
  <c r="F31" i="1"/>
  <c r="G31" i="1"/>
  <c r="H31" i="1"/>
  <c r="I31" i="1"/>
  <c r="J31" i="1"/>
  <c r="K31" i="1"/>
  <c r="L31" i="1"/>
  <c r="M31" i="1"/>
  <c r="N31" i="1"/>
  <c r="O31" i="1"/>
  <c r="P31" i="1"/>
  <c r="F30" i="1"/>
  <c r="G30" i="1"/>
  <c r="H30" i="1"/>
  <c r="I30" i="1"/>
  <c r="J30" i="1"/>
  <c r="K30" i="1"/>
  <c r="L30" i="1"/>
  <c r="M30" i="1"/>
  <c r="N30" i="1"/>
  <c r="O30" i="1"/>
  <c r="P30" i="1"/>
  <c r="G24" i="1"/>
  <c r="H24" i="1"/>
  <c r="J24" i="1"/>
  <c r="K24" i="1"/>
  <c r="L24" i="1"/>
  <c r="M24" i="1"/>
  <c r="N24" i="1"/>
  <c r="O24" i="1"/>
  <c r="P24" i="1"/>
  <c r="V24" i="1" l="1"/>
  <c r="V40" i="1"/>
  <c r="V37" i="1"/>
  <c r="V31" i="1"/>
  <c r="V30" i="1"/>
  <c r="V38" i="1"/>
  <c r="T24" i="1"/>
  <c r="W24" i="1" s="1"/>
  <c r="T38" i="1"/>
  <c r="W38" i="1" s="1"/>
  <c r="T40" i="1"/>
  <c r="W40" i="1" s="1"/>
  <c r="T37" i="1"/>
  <c r="W37" i="1" s="1"/>
  <c r="T30" i="1"/>
  <c r="W30" i="1" s="1"/>
  <c r="V27" i="5"/>
  <c r="V26" i="5"/>
  <c r="V25" i="5"/>
  <c r="V23" i="5"/>
  <c r="V22" i="5"/>
  <c r="V21" i="5"/>
  <c r="V20" i="5"/>
  <c r="V19" i="5"/>
  <c r="V18" i="5"/>
  <c r="V17" i="5"/>
  <c r="V11" i="5"/>
  <c r="V16" i="4"/>
  <c r="V20" i="3"/>
  <c r="V22" i="3"/>
  <c r="V25" i="3"/>
  <c r="V27" i="3"/>
  <c r="V28" i="3"/>
  <c r="V29" i="3"/>
  <c r="V31" i="3"/>
  <c r="V32" i="3"/>
  <c r="V33" i="3"/>
  <c r="V34" i="3"/>
  <c r="V35" i="3"/>
  <c r="V36" i="3"/>
  <c r="V38" i="3"/>
  <c r="V39" i="3"/>
  <c r="V42" i="3"/>
  <c r="V19" i="3"/>
  <c r="V12" i="3"/>
  <c r="V11" i="3"/>
  <c r="F13" i="1" l="1"/>
  <c r="S27" i="5"/>
  <c r="T27" i="5"/>
  <c r="W27" i="5" s="1"/>
  <c r="N29" i="5"/>
  <c r="T20" i="5" l="1"/>
  <c r="W20" i="5" s="1"/>
  <c r="S20" i="5"/>
  <c r="M29" i="5"/>
  <c r="K17" i="1" l="1"/>
  <c r="O17" i="1"/>
  <c r="N17" i="1"/>
  <c r="F17" i="1"/>
  <c r="P17" i="1"/>
  <c r="L17" i="1"/>
  <c r="H17" i="1"/>
  <c r="R17" i="1"/>
  <c r="J17" i="1"/>
  <c r="M17" i="1"/>
  <c r="I17" i="1"/>
  <c r="Q17" i="1"/>
  <c r="R50" i="1"/>
  <c r="E17" i="1"/>
  <c r="U50" i="1"/>
  <c r="U17" i="1"/>
  <c r="R52" i="1" l="1"/>
  <c r="D52" i="1"/>
  <c r="S47" i="1"/>
  <c r="U48" i="3" l="1"/>
  <c r="D48" i="3"/>
  <c r="U51" i="3" l="1"/>
  <c r="U53" i="3"/>
  <c r="D51" i="3"/>
  <c r="D53" i="3"/>
  <c r="U29" i="5"/>
  <c r="R29" i="5"/>
  <c r="Q29" i="5"/>
  <c r="I29" i="5"/>
  <c r="H29" i="5"/>
  <c r="G29" i="5"/>
  <c r="F29" i="5"/>
  <c r="E29" i="5"/>
  <c r="D29" i="5"/>
  <c r="T26" i="5"/>
  <c r="W26" i="5" s="1"/>
  <c r="S26" i="5"/>
  <c r="S25" i="5"/>
  <c r="T25" i="5"/>
  <c r="W25" i="5" s="1"/>
  <c r="S23" i="5"/>
  <c r="T23" i="5"/>
  <c r="W23" i="5" s="1"/>
  <c r="S22" i="5"/>
  <c r="O29" i="5"/>
  <c r="K29" i="5"/>
  <c r="S21" i="5"/>
  <c r="S19" i="5"/>
  <c r="T19" i="5"/>
  <c r="W19" i="5" s="1"/>
  <c r="S18" i="5"/>
  <c r="P29" i="5"/>
  <c r="L29" i="5"/>
  <c r="T17" i="5"/>
  <c r="W17" i="5" s="1"/>
  <c r="S17" i="5"/>
  <c r="U14" i="5"/>
  <c r="R14" i="5"/>
  <c r="Q14" i="5"/>
  <c r="O14" i="5"/>
  <c r="N14" i="5"/>
  <c r="M14" i="5"/>
  <c r="L14" i="5"/>
  <c r="K14" i="5"/>
  <c r="J14" i="5"/>
  <c r="I14" i="5"/>
  <c r="H14" i="5"/>
  <c r="G14" i="5"/>
  <c r="F14" i="5"/>
  <c r="E14" i="5"/>
  <c r="D14" i="5"/>
  <c r="T11" i="5"/>
  <c r="W11" i="5" s="1"/>
  <c r="S11" i="5"/>
  <c r="U18" i="4"/>
  <c r="R18" i="4"/>
  <c r="Q18" i="4"/>
  <c r="I18" i="4"/>
  <c r="H18" i="4"/>
  <c r="G18" i="4"/>
  <c r="E18" i="4"/>
  <c r="D18" i="4"/>
  <c r="S16" i="4"/>
  <c r="S48" i="1" s="1"/>
  <c r="R13" i="4"/>
  <c r="Q13" i="4"/>
  <c r="P13" i="4"/>
  <c r="O13" i="4"/>
  <c r="N13" i="4"/>
  <c r="M13" i="4"/>
  <c r="M21" i="4" s="1"/>
  <c r="L13" i="4"/>
  <c r="K13" i="4"/>
  <c r="K21" i="4" s="1"/>
  <c r="J13" i="4"/>
  <c r="I13" i="4"/>
  <c r="H13" i="4"/>
  <c r="G13" i="4"/>
  <c r="F13" i="4"/>
  <c r="E13" i="4"/>
  <c r="D13" i="4"/>
  <c r="T11" i="4"/>
  <c r="S11" i="4"/>
  <c r="S42" i="3"/>
  <c r="S39" i="3"/>
  <c r="S38" i="3"/>
  <c r="S36" i="3"/>
  <c r="T35" i="3"/>
  <c r="W35" i="3" s="1"/>
  <c r="S35" i="3"/>
  <c r="S34" i="3"/>
  <c r="S33" i="3"/>
  <c r="S32" i="3"/>
  <c r="S31" i="3"/>
  <c r="S29" i="3"/>
  <c r="S28" i="3"/>
  <c r="T27" i="3"/>
  <c r="W27" i="3" s="1"/>
  <c r="S27" i="3"/>
  <c r="S25" i="3"/>
  <c r="S27" i="1"/>
  <c r="S25" i="1"/>
  <c r="T22" i="3"/>
  <c r="W22" i="3" s="1"/>
  <c r="S22" i="3"/>
  <c r="T20" i="3"/>
  <c r="W20" i="3" s="1"/>
  <c r="S20" i="3"/>
  <c r="S19" i="3"/>
  <c r="S12" i="3"/>
  <c r="T11" i="3"/>
  <c r="S11" i="3"/>
  <c r="D8" i="1"/>
  <c r="E48" i="3" l="1"/>
  <c r="E51" i="3" s="1"/>
  <c r="E53" i="3" s="1"/>
  <c r="E31" i="1"/>
  <c r="S16" i="3"/>
  <c r="C34" i="11"/>
  <c r="E34" i="11" s="1"/>
  <c r="I34" i="11" s="1"/>
  <c r="C29" i="11"/>
  <c r="E29" i="11" s="1"/>
  <c r="I29" i="11" s="1"/>
  <c r="C28" i="11"/>
  <c r="H28" i="11" s="1"/>
  <c r="C25" i="11"/>
  <c r="E25" i="11" s="1"/>
  <c r="I25" i="11" s="1"/>
  <c r="C23" i="11"/>
  <c r="H23" i="11" s="1"/>
  <c r="C15" i="11"/>
  <c r="E15" i="11" s="1"/>
  <c r="C16" i="11"/>
  <c r="E16" i="11" s="1"/>
  <c r="C18" i="11"/>
  <c r="E18" i="11" s="1"/>
  <c r="I18" i="11" s="1"/>
  <c r="C8" i="11"/>
  <c r="E8" i="11" s="1"/>
  <c r="D8" i="13" s="1"/>
  <c r="C35" i="11"/>
  <c r="H35" i="11" s="1"/>
  <c r="G42" i="1"/>
  <c r="S33" i="1"/>
  <c r="C27" i="11"/>
  <c r="S37" i="1"/>
  <c r="C31" i="11"/>
  <c r="S28" i="1"/>
  <c r="C21" i="11"/>
  <c r="S36" i="1"/>
  <c r="C30" i="11"/>
  <c r="S45" i="1"/>
  <c r="C38" i="11"/>
  <c r="S31" i="1"/>
  <c r="C24" i="11"/>
  <c r="S38" i="1"/>
  <c r="C32" i="11"/>
  <c r="C9" i="11"/>
  <c r="E9" i="11" s="1"/>
  <c r="D9" i="13" s="1"/>
  <c r="F51" i="3"/>
  <c r="F42" i="1"/>
  <c r="W11" i="3"/>
  <c r="S13" i="1"/>
  <c r="S12" i="1"/>
  <c r="S30" i="1"/>
  <c r="S19" i="1"/>
  <c r="S20" i="1"/>
  <c r="S35" i="1"/>
  <c r="S24" i="1"/>
  <c r="S32" i="1"/>
  <c r="S14" i="1"/>
  <c r="S42" i="1"/>
  <c r="S23" i="1"/>
  <c r="S40" i="1"/>
  <c r="S34" i="1"/>
  <c r="D53" i="1"/>
  <c r="R32" i="5"/>
  <c r="L32" i="5"/>
  <c r="H21" i="4"/>
  <c r="F32" i="5"/>
  <c r="G32" i="5"/>
  <c r="R21" i="4"/>
  <c r="D33" i="5"/>
  <c r="H32" i="5"/>
  <c r="V11" i="4"/>
  <c r="K32" i="5"/>
  <c r="O32" i="5"/>
  <c r="P14" i="5"/>
  <c r="P32" i="5" s="1"/>
  <c r="M32" i="5"/>
  <c r="Q32" i="5"/>
  <c r="E32" i="5"/>
  <c r="I32" i="5"/>
  <c r="S13" i="4"/>
  <c r="S14" i="5"/>
  <c r="S48" i="3"/>
  <c r="N32" i="5"/>
  <c r="T22" i="5"/>
  <c r="W22" i="5" s="1"/>
  <c r="T14" i="5"/>
  <c r="W14" i="5" s="1"/>
  <c r="J29" i="5"/>
  <c r="J32" i="5" s="1"/>
  <c r="T21" i="5"/>
  <c r="W21" i="5" s="1"/>
  <c r="V14" i="5"/>
  <c r="T18" i="5"/>
  <c r="W18" i="5" s="1"/>
  <c r="S29" i="5"/>
  <c r="D32" i="5"/>
  <c r="G21" i="4"/>
  <c r="I21" i="4"/>
  <c r="W11" i="4"/>
  <c r="F21" i="4"/>
  <c r="S18" i="4"/>
  <c r="E21" i="4"/>
  <c r="J18" i="4"/>
  <c r="J21" i="4" s="1"/>
  <c r="Q21" i="4"/>
  <c r="L18" i="4"/>
  <c r="L21" i="4" s="1"/>
  <c r="P21" i="4"/>
  <c r="N18" i="4"/>
  <c r="N21" i="4" s="1"/>
  <c r="D22" i="4"/>
  <c r="O18" i="4"/>
  <c r="O21" i="4" s="1"/>
  <c r="U13" i="4"/>
  <c r="V13" i="4" s="1"/>
  <c r="T13" i="4"/>
  <c r="T16" i="4"/>
  <c r="W16" i="4" s="1"/>
  <c r="D21" i="4"/>
  <c r="T32" i="3"/>
  <c r="W32" i="3" s="1"/>
  <c r="T34" i="3"/>
  <c r="W34" i="3" s="1"/>
  <c r="T38" i="3"/>
  <c r="W38" i="3" s="1"/>
  <c r="T42" i="3"/>
  <c r="W42" i="3" s="1"/>
  <c r="T25" i="3"/>
  <c r="W25" i="3" s="1"/>
  <c r="T29" i="3"/>
  <c r="W29" i="3" s="1"/>
  <c r="T36" i="3"/>
  <c r="W36" i="3" s="1"/>
  <c r="T19" i="3"/>
  <c r="W19" i="3" s="1"/>
  <c r="T28" i="3"/>
  <c r="W28" i="3" s="1"/>
  <c r="T31" i="3"/>
  <c r="W31" i="3" s="1"/>
  <c r="T33" i="3"/>
  <c r="W33" i="3" s="1"/>
  <c r="D16" i="13" l="1"/>
  <c r="I16" i="11"/>
  <c r="D15" i="13"/>
  <c r="I15" i="11"/>
  <c r="F53" i="3"/>
  <c r="T31" i="1"/>
  <c r="W31" i="1" s="1"/>
  <c r="E50" i="1"/>
  <c r="E52" i="1" s="1"/>
  <c r="E53" i="1" s="1"/>
  <c r="H34" i="11"/>
  <c r="D11" i="13"/>
  <c r="E23" i="11"/>
  <c r="I23" i="11" s="1"/>
  <c r="H16" i="11"/>
  <c r="E35" i="11"/>
  <c r="D12" i="13"/>
  <c r="D25" i="13"/>
  <c r="D18" i="13"/>
  <c r="D29" i="13"/>
  <c r="D34" i="13"/>
  <c r="E28" i="11"/>
  <c r="I28" i="11" s="1"/>
  <c r="H29" i="11"/>
  <c r="H25" i="11"/>
  <c r="H18" i="11"/>
  <c r="S51" i="3"/>
  <c r="T39" i="3"/>
  <c r="W39" i="3" s="1"/>
  <c r="E32" i="11"/>
  <c r="I32" i="11" s="1"/>
  <c r="H32" i="11"/>
  <c r="E24" i="11"/>
  <c r="I24" i="11" s="1"/>
  <c r="H24" i="11"/>
  <c r="E30" i="11"/>
  <c r="I30" i="11" s="1"/>
  <c r="H30" i="11"/>
  <c r="E21" i="11"/>
  <c r="I21" i="11" s="1"/>
  <c r="H21" i="11"/>
  <c r="E31" i="11"/>
  <c r="I31" i="11" s="1"/>
  <c r="H31" i="11"/>
  <c r="C43" i="11"/>
  <c r="E38" i="11"/>
  <c r="I38" i="11" s="1"/>
  <c r="H38" i="11"/>
  <c r="E27" i="11"/>
  <c r="I27" i="11" s="1"/>
  <c r="H27" i="11"/>
  <c r="H15" i="11"/>
  <c r="E12" i="11"/>
  <c r="I12" i="11" s="1"/>
  <c r="E11" i="11"/>
  <c r="C12" i="11"/>
  <c r="C11" i="11"/>
  <c r="J48" i="3"/>
  <c r="J51" i="3" s="1"/>
  <c r="J42" i="1"/>
  <c r="J50" i="1" s="1"/>
  <c r="J52" i="1" s="1"/>
  <c r="P48" i="3"/>
  <c r="P51" i="3" s="1"/>
  <c r="P42" i="1"/>
  <c r="P50" i="1" s="1"/>
  <c r="P52" i="1" s="1"/>
  <c r="K48" i="3"/>
  <c r="K51" i="3" s="1"/>
  <c r="K42" i="1"/>
  <c r="K50" i="1" s="1"/>
  <c r="K52" i="1" s="1"/>
  <c r="N48" i="3"/>
  <c r="N51" i="3" s="1"/>
  <c r="N42" i="1"/>
  <c r="N50" i="1" s="1"/>
  <c r="N52" i="1" s="1"/>
  <c r="I48" i="3"/>
  <c r="I51" i="3" s="1"/>
  <c r="I42" i="1"/>
  <c r="I50" i="1" s="1"/>
  <c r="I52" i="1" s="1"/>
  <c r="O48" i="3"/>
  <c r="O51" i="3" s="1"/>
  <c r="O42" i="1"/>
  <c r="O50" i="1" s="1"/>
  <c r="O52" i="1" s="1"/>
  <c r="Q48" i="3"/>
  <c r="Q51" i="3" s="1"/>
  <c r="Q42" i="1"/>
  <c r="Q50" i="1" s="1"/>
  <c r="Q52" i="1" s="1"/>
  <c r="L48" i="3"/>
  <c r="L51" i="3" s="1"/>
  <c r="L42" i="1"/>
  <c r="L50" i="1" s="1"/>
  <c r="L52" i="1" s="1"/>
  <c r="M48" i="3"/>
  <c r="M51" i="3" s="1"/>
  <c r="M42" i="1"/>
  <c r="M50" i="1" s="1"/>
  <c r="M52" i="1" s="1"/>
  <c r="H48" i="3"/>
  <c r="H51" i="3" s="1"/>
  <c r="H42" i="1"/>
  <c r="H50" i="1" s="1"/>
  <c r="H52" i="1" s="1"/>
  <c r="F50" i="1"/>
  <c r="F52" i="1" s="1"/>
  <c r="V16" i="3"/>
  <c r="E33" i="5"/>
  <c r="F33" i="5" s="1"/>
  <c r="E22" i="4"/>
  <c r="F22" i="4" s="1"/>
  <c r="S17" i="1"/>
  <c r="T29" i="5"/>
  <c r="W29" i="5" s="1"/>
  <c r="S50" i="1"/>
  <c r="V50" i="1"/>
  <c r="V18" i="4"/>
  <c r="T14" i="1"/>
  <c r="W14" i="1" s="1"/>
  <c r="V29" i="5"/>
  <c r="W13" i="4"/>
  <c r="T18" i="4"/>
  <c r="W18" i="4" s="1"/>
  <c r="D35" i="13" l="1"/>
  <c r="I35" i="11"/>
  <c r="F53" i="1"/>
  <c r="D23" i="13"/>
  <c r="D21" i="13"/>
  <c r="D24" i="13"/>
  <c r="D27" i="13"/>
  <c r="D31" i="13"/>
  <c r="D30" i="13"/>
  <c r="D32" i="13"/>
  <c r="D38" i="13"/>
  <c r="D28" i="13"/>
  <c r="C45" i="11"/>
  <c r="C47" i="11" s="1"/>
  <c r="E43" i="11"/>
  <c r="I43" i="11" s="1"/>
  <c r="H43" i="11"/>
  <c r="H12" i="11"/>
  <c r="T42" i="1"/>
  <c r="W42" i="1" s="1"/>
  <c r="V17" i="1"/>
  <c r="A36" i="13" l="1"/>
  <c r="A22" i="13"/>
  <c r="A26" i="13"/>
  <c r="A19" i="13"/>
  <c r="A32" i="13"/>
  <c r="A23" i="13"/>
  <c r="A31" i="13"/>
  <c r="A17" i="13"/>
  <c r="A28" i="13"/>
  <c r="A42" i="13"/>
  <c r="A27" i="13"/>
  <c r="A40" i="13"/>
  <c r="A25" i="13"/>
  <c r="D43" i="13"/>
  <c r="A37" i="13"/>
  <c r="A18" i="13"/>
  <c r="A21" i="13"/>
  <c r="A41" i="13"/>
  <c r="A15" i="13"/>
  <c r="A29" i="13"/>
  <c r="A38" i="13"/>
  <c r="A30" i="13"/>
  <c r="A20" i="13"/>
  <c r="A34" i="13"/>
  <c r="A39" i="13"/>
  <c r="A33" i="13"/>
  <c r="A24" i="13"/>
  <c r="A35" i="13"/>
  <c r="A16" i="13"/>
  <c r="G33" i="5"/>
  <c r="G22" i="4"/>
  <c r="I22" i="13" l="1"/>
  <c r="H22" i="13"/>
  <c r="H20" i="13"/>
  <c r="I20" i="13"/>
  <c r="H19" i="13"/>
  <c r="I19" i="13"/>
  <c r="H21" i="13"/>
  <c r="I21" i="13"/>
  <c r="I25" i="13"/>
  <c r="D45" i="13"/>
  <c r="D47" i="13" s="1"/>
  <c r="I17" i="13"/>
  <c r="I15" i="13"/>
  <c r="I18" i="13"/>
  <c r="H18" i="13"/>
  <c r="H17" i="13"/>
  <c r="H16" i="13"/>
  <c r="I16" i="13"/>
  <c r="H15" i="13"/>
  <c r="H33" i="5"/>
  <c r="H22" i="4"/>
  <c r="I23" i="13" l="1"/>
  <c r="I33" i="5"/>
  <c r="I22" i="4"/>
  <c r="J33" i="5" l="1"/>
  <c r="J22" i="4"/>
  <c r="K22" i="4" s="1"/>
  <c r="K33" i="5" l="1"/>
  <c r="L33" i="5" l="1"/>
  <c r="L22" i="4"/>
  <c r="M22" i="4" l="1"/>
  <c r="M33" i="5"/>
  <c r="N33" i="5" l="1"/>
  <c r="N22" i="4"/>
  <c r="O33" i="5" l="1"/>
  <c r="P33" i="5" s="1"/>
  <c r="Q33" i="5" s="1"/>
  <c r="R33" i="5" s="1"/>
  <c r="O22" i="4"/>
  <c r="P22" i="4" s="1"/>
  <c r="Q22" i="4" s="1"/>
  <c r="R22" i="4" s="1"/>
  <c r="G13" i="1" l="1"/>
  <c r="G17" i="1" s="1"/>
  <c r="T12" i="3"/>
  <c r="T16" i="3" s="1"/>
  <c r="W12" i="3" l="1"/>
  <c r="W16" i="3"/>
  <c r="T13" i="1"/>
  <c r="T17" i="1" l="1"/>
  <c r="W17" i="1" s="1"/>
  <c r="W13" i="1"/>
  <c r="G22" i="1"/>
  <c r="G50" i="1" s="1"/>
  <c r="G52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T48" i="3"/>
  <c r="G51" i="3"/>
  <c r="G53" i="3" s="1"/>
  <c r="H53" i="3" s="1"/>
  <c r="I53" i="3" s="1"/>
  <c r="J53" i="3" s="1"/>
  <c r="W48" i="3" l="1"/>
  <c r="T51" i="3"/>
  <c r="V48" i="3"/>
  <c r="T22" i="1"/>
  <c r="F20" i="6" l="1"/>
  <c r="W22" i="1"/>
  <c r="T50" i="1"/>
  <c r="W50" i="1" s="1"/>
  <c r="K53" i="3" l="1"/>
  <c r="L53" i="3" l="1"/>
  <c r="M53" i="3" l="1"/>
  <c r="N53" i="3" l="1"/>
  <c r="O53" i="3" l="1"/>
  <c r="P53" i="3" l="1"/>
  <c r="Q53" i="3" s="1"/>
  <c r="R53" i="3" s="1"/>
  <c r="D19" i="6"/>
  <c r="D20" i="6" s="1"/>
</calcChain>
</file>

<file path=xl/sharedStrings.xml><?xml version="1.0" encoding="utf-8"?>
<sst xmlns="http://schemas.openxmlformats.org/spreadsheetml/2006/main" count="980" uniqueCount="368">
  <si>
    <t>Fund:</t>
  </si>
  <si>
    <t>Forecast</t>
  </si>
  <si>
    <t>Unit</t>
  </si>
  <si>
    <t>Summary</t>
  </si>
  <si>
    <t>Rollup</t>
  </si>
  <si>
    <t>Actual</t>
  </si>
  <si>
    <t>Sub Unit</t>
  </si>
  <si>
    <t>Blank</t>
  </si>
  <si>
    <t>Percent of Year Complete</t>
  </si>
  <si>
    <t>Appropriation:</t>
  </si>
  <si>
    <t xml:space="preserve"> </t>
  </si>
  <si>
    <t>Obj/Rev Class</t>
  </si>
  <si>
    <t>Obj/Rev Class Name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</si>
  <si>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</si>
  <si>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</si>
  <si>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</si>
  <si>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</si>
  <si>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</si>
  <si>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</si>
  <si>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</si>
  <si>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</si>
  <si>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</si>
  <si>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</si>
  <si>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</si>
  <si>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</si>
  <si>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HO13</t>
  </si>
  <si>
    <t>HO14</t>
  </si>
  <si>
    <t>HO15</t>
  </si>
  <si>
    <t>YTD</t>
  </si>
  <si>
    <t xml:space="preserve"> End of Year Forecast</t>
  </si>
  <si>
    <t>Annual Budget</t>
  </si>
  <si>
    <t>Percent of Budget</t>
  </si>
  <si>
    <t>(C=A+B)</t>
  </si>
  <si>
    <t>(D)</t>
  </si>
  <si>
    <t>To Date</t>
  </si>
  <si>
    <t>Forecasted EOY</t>
  </si>
  <si>
    <t>Appropriation</t>
  </si>
  <si>
    <t>Revenue Collected</t>
  </si>
  <si>
    <t>205</t>
  </si>
  <si>
    <t>301</t>
  </si>
  <si>
    <t>501</t>
  </si>
  <si>
    <t>Refunds &amp; Reimbursements</t>
  </si>
  <si>
    <t>Total Revenue Collected:</t>
  </si>
  <si>
    <t>Expenditures</t>
  </si>
  <si>
    <t>101</t>
  </si>
  <si>
    <t>Personal Services</t>
  </si>
  <si>
    <t>202</t>
  </si>
  <si>
    <t>In State Travel</t>
  </si>
  <si>
    <t>Out Of State Travel</t>
  </si>
  <si>
    <t>Office Supplies</t>
  </si>
  <si>
    <t>303</t>
  </si>
  <si>
    <t>Equipment Maintenance Supplies</t>
  </si>
  <si>
    <t>308</t>
  </si>
  <si>
    <t>Other Supplies</t>
  </si>
  <si>
    <t>309</t>
  </si>
  <si>
    <t>Printing &amp; Binding</t>
  </si>
  <si>
    <t>313</t>
  </si>
  <si>
    <t>Postage</t>
  </si>
  <si>
    <t>401</t>
  </si>
  <si>
    <t>Communications</t>
  </si>
  <si>
    <t>402</t>
  </si>
  <si>
    <t>Rentals</t>
  </si>
  <si>
    <t>405</t>
  </si>
  <si>
    <t>Prof &amp; Scientific Services</t>
  </si>
  <si>
    <t>406</t>
  </si>
  <si>
    <t>Outside Services</t>
  </si>
  <si>
    <t>408</t>
  </si>
  <si>
    <t>Advertising &amp; Publicity</t>
  </si>
  <si>
    <t>409</t>
  </si>
  <si>
    <t>Outside Repairs/Service</t>
  </si>
  <si>
    <t>Attorney General Reimbursement</t>
  </si>
  <si>
    <t>414</t>
  </si>
  <si>
    <t>Reimbursements To Other Agency</t>
  </si>
  <si>
    <t>416</t>
  </si>
  <si>
    <t>ITD Reimbursements</t>
  </si>
  <si>
    <t>434</t>
  </si>
  <si>
    <t>Gov Transfer Other Agencies</t>
  </si>
  <si>
    <t>503</t>
  </si>
  <si>
    <t>Equipment-Non Inventory</t>
  </si>
  <si>
    <t>602</t>
  </si>
  <si>
    <t>Other Expenses &amp; Obligations</t>
  </si>
  <si>
    <t>Total Expenditures:</t>
  </si>
  <si>
    <t>Current Month Operations</t>
  </si>
  <si>
    <t>Cash Balance</t>
  </si>
  <si>
    <t xml:space="preserve">Job Class </t>
  </si>
  <si>
    <t>Employee Name</t>
  </si>
  <si>
    <t xml:space="preserve">To:  </t>
  </si>
  <si>
    <t>cc:</t>
  </si>
  <si>
    <t>From:</t>
  </si>
  <si>
    <t>Date:</t>
  </si>
  <si>
    <t>Re:</t>
  </si>
  <si>
    <t>Questions and review of financials:</t>
  </si>
  <si>
    <t>Accounting conventions:</t>
  </si>
  <si>
    <t>Other Information:</t>
  </si>
  <si>
    <t>0001</t>
  </si>
  <si>
    <t>General Fund</t>
  </si>
  <si>
    <t>J21</t>
  </si>
  <si>
    <t>432</t>
  </si>
  <si>
    <t>Federal Support</t>
  </si>
  <si>
    <t>Civil Rights Commission-HUD</t>
  </si>
  <si>
    <t>2500</t>
  </si>
  <si>
    <t>201</t>
  </si>
  <si>
    <t>13</t>
  </si>
  <si>
    <t>EDas Customer Number:</t>
  </si>
  <si>
    <t>Financial statements have been prepared on the cash basis.</t>
  </si>
  <si>
    <t>Pg 1</t>
  </si>
  <si>
    <t>2500 FTE</t>
  </si>
  <si>
    <t>BBF</t>
  </si>
  <si>
    <t>Outstanding issues that may affect the financial statements</t>
  </si>
  <si>
    <t>234</t>
  </si>
  <si>
    <t>Gov Transfer In Other Agencies</t>
  </si>
  <si>
    <t>Total Budgeted FTEs</t>
  </si>
  <si>
    <t>705</t>
  </si>
  <si>
    <t>Refunds-Other</t>
  </si>
  <si>
    <t>Budget or forecast updates will be discussed during the monthly financial review meetings and will be included in the next months financials.</t>
  </si>
  <si>
    <t>Revenue</t>
  </si>
  <si>
    <t>Current Cash Balance</t>
  </si>
  <si>
    <t>FOOTNOTES</t>
  </si>
  <si>
    <t>Expenses</t>
  </si>
  <si>
    <t>Areas to Monitor:</t>
  </si>
  <si>
    <t>433</t>
  </si>
  <si>
    <t>Gov Transfer Auditor of State</t>
  </si>
  <si>
    <t>Expense</t>
  </si>
  <si>
    <t>Cash Balance Review</t>
  </si>
  <si>
    <t xml:space="preserve">NOTE 1: </t>
  </si>
  <si>
    <t>311</t>
  </si>
  <si>
    <t>Food</t>
  </si>
  <si>
    <t>203</t>
  </si>
  <si>
    <t>State Vehicle Operation</t>
  </si>
  <si>
    <t>Clerk-Specialist</t>
  </si>
  <si>
    <t>Intra-State Reimbursements</t>
  </si>
  <si>
    <t>Total Revenues:</t>
  </si>
  <si>
    <t>Other</t>
  </si>
  <si>
    <t>704</t>
  </si>
  <si>
    <t>Board of Educational Examiners</t>
  </si>
  <si>
    <t>9397</t>
  </si>
  <si>
    <t>Board of Eduational Examiners</t>
  </si>
  <si>
    <t>FY 2019</t>
  </si>
  <si>
    <t>Fees, Licenses &amp; Permits</t>
  </si>
  <si>
    <t>204</t>
  </si>
  <si>
    <t>State Vehicle Depreciation</t>
  </si>
  <si>
    <t>304</t>
  </si>
  <si>
    <t>Prof &amp; Scientific Supplies</t>
  </si>
  <si>
    <t>418</t>
  </si>
  <si>
    <t>IT Outside Services</t>
  </si>
  <si>
    <t>502</t>
  </si>
  <si>
    <t>Equipment</t>
  </si>
  <si>
    <t>Office Equipment</t>
  </si>
  <si>
    <t>510</t>
  </si>
  <si>
    <t>IT Equipment &amp; Software</t>
  </si>
  <si>
    <t>0914</t>
  </si>
  <si>
    <t>Teacher Certificates Clearing</t>
  </si>
  <si>
    <t>2217</t>
  </si>
  <si>
    <t>Sharon S Jensen</t>
  </si>
  <si>
    <t>Danielle N Brookes</t>
  </si>
  <si>
    <t>Jeff S Debruin</t>
  </si>
  <si>
    <t>Info Tech Specialist 4</t>
  </si>
  <si>
    <t>Education Program Consultant</t>
  </si>
  <si>
    <t>Michael D Cavin</t>
  </si>
  <si>
    <t>David D Wempen</t>
  </si>
  <si>
    <t>Exec Dir/Ed Examiners Board</t>
  </si>
  <si>
    <t>Joanne K Tubbs</t>
  </si>
  <si>
    <t>Admin Consultant</t>
  </si>
  <si>
    <t>Attorney 3</t>
  </si>
  <si>
    <t>Secretary 3</t>
  </si>
  <si>
    <t>Kathy J Behrens</t>
  </si>
  <si>
    <t>Board Members</t>
  </si>
  <si>
    <t>WZ9</t>
  </si>
  <si>
    <t>Payroll Postings</t>
  </si>
  <si>
    <t>Remaining Postings</t>
  </si>
  <si>
    <t>Job Class</t>
  </si>
  <si>
    <t>Name</t>
  </si>
  <si>
    <t>%</t>
  </si>
  <si>
    <t>Bgt Comp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</si>
  <si>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</si>
  <si>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</si>
  <si>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</si>
  <si>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</si>
  <si>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</si>
  <si>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</si>
  <si>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</si>
  <si>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</si>
  <si>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</si>
  <si>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</si>
  <si>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</si>
  <si>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</si>
  <si>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Year</t>
  </si>
  <si>
    <t>702</t>
  </si>
  <si>
    <t>Fees</t>
  </si>
  <si>
    <t>Licensure Fees</t>
  </si>
  <si>
    <t>DCI Check Fees</t>
  </si>
  <si>
    <t>Expenditures -</t>
  </si>
  <si>
    <t>Total Expenditures</t>
  </si>
  <si>
    <t>Encumbered</t>
  </si>
  <si>
    <t>Resources -</t>
  </si>
  <si>
    <t>Balance Forward</t>
  </si>
  <si>
    <t>Total Resources</t>
  </si>
  <si>
    <t>(Total Revenues)</t>
  </si>
  <si>
    <t>Balance Brought Forward from Prior Year</t>
  </si>
  <si>
    <t>Budget Balance</t>
  </si>
  <si>
    <t>Percent of Budget Received   /Spent</t>
  </si>
  <si>
    <t>% of Budget Calculation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</si>
  <si>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</si>
  <si>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</si>
  <si>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</si>
  <si>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</si>
  <si>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</si>
  <si>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</si>
  <si>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</si>
  <si>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</si>
  <si>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</si>
  <si>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</si>
  <si>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</si>
  <si>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</si>
  <si>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CY Revenue Less Expenditures</t>
  </si>
  <si>
    <t>Estimated Carry Forward</t>
  </si>
  <si>
    <t>Obligations vs. Budget Report</t>
  </si>
  <si>
    <r>
      <rPr>
        <b/>
        <sz val="14"/>
        <rFont val="Arial"/>
        <family val="2"/>
      </rPr>
      <t>Prof &amp; Scientific Services</t>
    </r>
    <r>
      <rPr>
        <sz val="14"/>
        <rFont val="Arial"/>
        <family val="2"/>
      </rPr>
      <t xml:space="preserve"> - payments to school districts for Board Member per diem &amp; substitute reimbursements.</t>
    </r>
  </si>
  <si>
    <r>
      <rPr>
        <b/>
        <sz val="14"/>
        <rFont val="Arial"/>
        <family val="2"/>
      </rPr>
      <t>Other Expenses &amp; Obligations</t>
    </r>
    <r>
      <rPr>
        <sz val="14"/>
        <rFont val="Arial"/>
        <family val="2"/>
      </rPr>
      <t xml:space="preserve"> - TOS credit card processing fees.</t>
    </r>
  </si>
  <si>
    <t>9397 - BoEE</t>
  </si>
  <si>
    <t>234 Gen Fund</t>
  </si>
  <si>
    <t>Licensure Fees % - Other Agcy</t>
  </si>
  <si>
    <t>401 Gen Fund</t>
  </si>
  <si>
    <t>Total General Fund</t>
  </si>
  <si>
    <t>Total Receipts</t>
  </si>
  <si>
    <t>Note -</t>
  </si>
  <si>
    <t>0001-996-2820</t>
  </si>
  <si>
    <t>ARCHIVED FOOTNOTES</t>
  </si>
  <si>
    <t>Rank</t>
  </si>
  <si>
    <t>FY 2020</t>
  </si>
  <si>
    <t>2 Year $ Total</t>
  </si>
  <si>
    <t>2 Year % Total</t>
  </si>
  <si>
    <t>Projected FYE Carry Forward</t>
  </si>
  <si>
    <t>Actual Obligations      FY-To-Date</t>
  </si>
  <si>
    <t>302</t>
  </si>
  <si>
    <t>Facility Maintenance Supplies</t>
  </si>
  <si>
    <t>Investigator 3</t>
  </si>
  <si>
    <t>403</t>
  </si>
  <si>
    <t>Utilities</t>
  </si>
  <si>
    <t>Balance Carried Forward to Next Year</t>
  </si>
  <si>
    <t>Revenues</t>
  </si>
  <si>
    <r>
      <t>Gov Transfer In Other Agencies</t>
    </r>
    <r>
      <rPr>
        <sz val="14"/>
        <rFont val="Arial"/>
        <family val="2"/>
      </rPr>
      <t xml:space="preserve"> - includes WebSpec reimbursement.</t>
    </r>
  </si>
  <si>
    <t>Cynthia D Dennis</t>
  </si>
  <si>
    <t>Actual       FY-To-Date</t>
  </si>
  <si>
    <t>Total Obligations FY-To-Date</t>
  </si>
  <si>
    <t>Chad W Janzen</t>
  </si>
  <si>
    <t>Jessica L Kurtz</t>
  </si>
  <si>
    <t>Monthly Cost %</t>
  </si>
  <si>
    <t>Per Pay Period Cost %</t>
  </si>
  <si>
    <t>All Other</t>
  </si>
  <si>
    <t>BoEE - Executive Director, Mike Cavin</t>
  </si>
  <si>
    <t>Executive Director/BOEE</t>
  </si>
  <si>
    <t>SEP</t>
  </si>
  <si>
    <t>JUN</t>
  </si>
  <si>
    <t>Meredith Hawk</t>
  </si>
  <si>
    <t>Pam Bleam</t>
  </si>
  <si>
    <t>105268 14000</t>
  </si>
  <si>
    <t>105265 14000</t>
  </si>
  <si>
    <t>105267 14000</t>
  </si>
  <si>
    <t>139184 14000</t>
  </si>
  <si>
    <t>105266 14000</t>
  </si>
  <si>
    <t>105263 14000</t>
  </si>
  <si>
    <t>105264 14000</t>
  </si>
  <si>
    <t>105256 00018</t>
  </si>
  <si>
    <t>105257 00121</t>
  </si>
  <si>
    <t>105254 00018</t>
  </si>
  <si>
    <t>142330 00018</t>
  </si>
  <si>
    <t>105255 00018</t>
  </si>
  <si>
    <t>105258 00697</t>
  </si>
  <si>
    <t>105269 31038</t>
  </si>
  <si>
    <t xml:space="preserve">105259 01071 </t>
  </si>
  <si>
    <t xml:space="preserve">105260 01071 </t>
  </si>
  <si>
    <t>144601 01071</t>
  </si>
  <si>
    <t xml:space="preserve">105262 01071 </t>
  </si>
  <si>
    <t xml:space="preserve">105270 31513 </t>
  </si>
  <si>
    <t>144600 00645</t>
  </si>
  <si>
    <t xml:space="preserve">105272 95002 </t>
  </si>
  <si>
    <t>YTD vs Prior Year</t>
  </si>
  <si>
    <t>Geri Mcmahon</t>
  </si>
  <si>
    <t>139188 14000</t>
  </si>
  <si>
    <t>Eric A St Clair DOE</t>
  </si>
  <si>
    <t>FY22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</si>
  <si>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 and Board Meeting expense.</t>
    </r>
  </si>
  <si>
    <r>
      <rPr>
        <b/>
        <sz val="14"/>
        <rFont val="Arial"/>
        <family val="2"/>
      </rPr>
      <t>IT Outside Services</t>
    </r>
    <r>
      <rPr>
        <sz val="14"/>
        <rFont val="Arial"/>
        <family val="2"/>
      </rPr>
      <t xml:space="preserve"> - WebSpec Design costs, &amp; Insight desktop support.</t>
    </r>
  </si>
  <si>
    <r>
      <rPr>
        <b/>
        <sz val="14"/>
        <rFont val="Arial"/>
        <family val="2"/>
      </rPr>
      <t>Gov Transfer In Other Agencies</t>
    </r>
    <r>
      <rPr>
        <sz val="14"/>
        <rFont val="Arial"/>
        <family val="2"/>
      </rPr>
      <t xml:space="preserve"> - Includes WebSpec Reimbursement.</t>
    </r>
  </si>
  <si>
    <t>SLIP Retiree</t>
  </si>
  <si>
    <t>Beth Myers</t>
  </si>
  <si>
    <t>Alivia Bullis</t>
  </si>
  <si>
    <t>Mirela Jusic</t>
  </si>
  <si>
    <r>
      <rPr>
        <b/>
        <sz val="14"/>
        <rFont val="Arial"/>
        <family val="2"/>
      </rPr>
      <t>Outside Services</t>
    </r>
    <r>
      <rPr>
        <sz val="14"/>
        <rFont val="Arial"/>
        <family val="2"/>
      </rPr>
      <t xml:space="preserve"> - Includes the office cleaning service.</t>
    </r>
  </si>
  <si>
    <t>139186 14000</t>
  </si>
  <si>
    <t>Davis L Eidahl</t>
  </si>
  <si>
    <r>
      <rPr>
        <b/>
        <sz val="14"/>
        <rFont val="Arial"/>
        <family val="2"/>
      </rPr>
      <t xml:space="preserve">Gov Transfer Other Agencies - </t>
    </r>
    <r>
      <rPr>
        <sz val="14"/>
        <rFont val="Arial"/>
        <family val="2"/>
      </rPr>
      <t>DCI criminal history &amp; background checks &amp; DIA services.</t>
    </r>
  </si>
  <si>
    <t>Department 282 Unit 9397</t>
  </si>
  <si>
    <t>I54</t>
  </si>
  <si>
    <t>FY23</t>
  </si>
  <si>
    <t>zzzSLIP Cunningham K (dob 5/14/62)</t>
  </si>
  <si>
    <t>Total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</si>
  <si>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August expense includes booth rental for the SAI &amp; IASB events.</t>
    </r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</si>
  <si>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August expense includes the Salesforce renewal $166,414 and the Google licenses renewal.</t>
    </r>
  </si>
  <si>
    <t>Investigator 2</t>
  </si>
  <si>
    <t>Total FTEs</t>
  </si>
  <si>
    <t>Budgeted</t>
  </si>
  <si>
    <t>Filled</t>
  </si>
  <si>
    <t>vacant</t>
  </si>
  <si>
    <t>Beth A Myers</t>
  </si>
  <si>
    <r>
      <rPr>
        <b/>
        <sz val="14"/>
        <rFont val="Arial"/>
        <family val="2"/>
      </rPr>
      <t>Office Supplies</t>
    </r>
    <r>
      <rPr>
        <sz val="14"/>
        <rFont val="Arial"/>
        <family val="2"/>
      </rPr>
      <t xml:space="preserve"> - August expense is the FY24 NASDTEC membership fee of $4,500 (paid in FY23).</t>
    </r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</si>
  <si>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August expense is for the IDEMIA maintenance &amp; support and the FY24 portion of the Zoom license fee (paid in FY23).</t>
    </r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</si>
  <si>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October &amp; April have 3 payroll warrants written.  S Mitchell vacation/sick payout in October.</t>
    </r>
  </si>
  <si>
    <t xml:space="preserve"> The cost for this project was budgeted in Expense Class 416.</t>
  </si>
  <si>
    <t>Kelly Jo Krogh Faga</t>
  </si>
  <si>
    <t>Jessica Kurtz Naylor</t>
  </si>
  <si>
    <t>Encumbrances</t>
  </si>
  <si>
    <t>147733 00696</t>
  </si>
  <si>
    <r>
      <rPr>
        <b/>
        <sz val="14"/>
        <rFont val="Arial"/>
        <family val="2"/>
      </rPr>
      <t>Out Of State Travel</t>
    </r>
    <r>
      <rPr>
        <sz val="14"/>
        <rFont val="Arial"/>
        <family val="2"/>
      </rPr>
      <t xml:space="preserve"> - December includes a NASDTEC event registration (B Myers)</t>
    </r>
  </si>
  <si>
    <t xml:space="preserve"> October &amp; December expense includes $95,484 for a Professional Practices update &amp; migration to the Salesforce system.</t>
  </si>
  <si>
    <t>Daniel J Zylstra</t>
  </si>
  <si>
    <r>
      <rPr>
        <b/>
        <sz val="14"/>
        <rFont val="Arial"/>
        <family val="2"/>
      </rPr>
      <t>Equipment</t>
    </r>
    <r>
      <rPr>
        <sz val="14"/>
        <rFont val="Arial"/>
        <family val="2"/>
      </rPr>
      <t xml:space="preserve"> - Jan expense is for a copier replacement.</t>
    </r>
  </si>
  <si>
    <r>
      <t>Attorney General Reimbursement</t>
    </r>
    <r>
      <rPr>
        <sz val="14"/>
        <rFont val="Arial"/>
        <family val="2"/>
      </rPr>
      <t xml:space="preserve"> - Jan contains AG billings for July - Nov.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</si>
  <si>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Oct includes the quarterly Workers Comp allocation of $901.</t>
    </r>
  </si>
  <si>
    <r>
      <rPr>
        <b/>
        <sz val="14"/>
        <rFont val="Arial"/>
        <family val="2"/>
      </rPr>
      <t>Communication</t>
    </r>
    <r>
      <rPr>
        <sz val="14"/>
        <rFont val="Arial"/>
        <family val="2"/>
      </rPr>
      <t xml:space="preserve"> - Cell phone and ICN Voice, Data &amp; Internet usage.</t>
    </r>
  </si>
  <si>
    <t xml:space="preserve"> Jan includes the quarterly Workers Comp allocation of $901.</t>
  </si>
  <si>
    <t>Lori L Lavorato</t>
  </si>
  <si>
    <t>Miranda R Brus</t>
  </si>
  <si>
    <t>Gregory S Horstman (retirement 5/28/24)</t>
  </si>
  <si>
    <t>eDAS Customer Number:</t>
  </si>
  <si>
    <t>FY 2025 FINANCIAL ANALYSIS</t>
  </si>
  <si>
    <t>FY 25        Annual Budget</t>
  </si>
  <si>
    <t>FY 2025</t>
  </si>
  <si>
    <t>FY 25 Budget</t>
  </si>
  <si>
    <t>Budget Fiscal Year: 2025</t>
  </si>
  <si>
    <t>Prior Year  FY24</t>
  </si>
  <si>
    <t>(Colums D+R)</t>
  </si>
  <si>
    <t>(-)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</si>
  <si>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</t>
    </r>
  </si>
  <si>
    <r>
      <rPr>
        <b/>
        <sz val="14"/>
        <rFont val="Arial"/>
        <family val="2"/>
      </rPr>
      <t>Office Equipment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</si>
  <si>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Equipment-Non Inventory</t>
    </r>
    <r>
      <rPr>
        <sz val="14"/>
        <rFont val="Arial"/>
        <family val="2"/>
      </rPr>
      <t xml:space="preserve"> -</t>
    </r>
  </si>
  <si>
    <t>Geri McMahon</t>
  </si>
  <si>
    <t>Joshua Moser</t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</si>
  <si>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Includes US Bank fees.</t>
    </r>
  </si>
  <si>
    <r>
      <rPr>
        <b/>
        <sz val="14"/>
        <rFont val="Arial"/>
        <family val="2"/>
      </rPr>
      <t xml:space="preserve">Office Supplies  - </t>
    </r>
    <r>
      <rPr>
        <sz val="14"/>
        <rFont val="Arial"/>
        <family val="2"/>
      </rPr>
      <t>In May, will pay next year's National Association of State Directors membership (approx. $6,000).</t>
    </r>
  </si>
  <si>
    <t>9500</t>
  </si>
  <si>
    <t>William Rector</t>
  </si>
  <si>
    <t>150133 00696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</si>
  <si>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travel.</t>
    </r>
  </si>
  <si>
    <r>
      <rPr>
        <b/>
        <sz val="14"/>
        <rFont val="Arial"/>
        <family val="2"/>
      </rPr>
      <t xml:space="preserve">Out of State Travel- </t>
    </r>
    <r>
      <rPr>
        <sz val="14"/>
        <rFont val="Arial"/>
        <family val="2"/>
      </rPr>
      <t>Employee travel.</t>
    </r>
  </si>
  <si>
    <t>Matthew Barron (10/25/24)</t>
  </si>
  <si>
    <t xml:space="preserve">           00696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</si>
  <si>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</si>
  <si>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Work Comp now paid by DE.</t>
    </r>
  </si>
  <si>
    <t>35 with DE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</si>
  <si>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April 2025 will have the annual Zoom license fee. </t>
    </r>
  </si>
  <si>
    <t>Final Y-E Cash Carry Forward to FY2025 completed in August.</t>
  </si>
  <si>
    <t>For Fiscal 2025, Novemeber and May are "3 Payroll" months.</t>
  </si>
  <si>
    <t>shantel.billington1@iowa.gov</t>
  </si>
  <si>
    <t>515-661-7066</t>
  </si>
  <si>
    <t>FY2024 GAAP Package completed September 6.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</si>
  <si>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November &amp; May have 3 payroll days. Based on timing, the 3 withdrawals happened in October.</t>
    </r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</si>
  <si>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November &amp; May have 3 payroll dates</t>
    </r>
  </si>
  <si>
    <t>Appropriation- I51</t>
  </si>
  <si>
    <t>Licensure Fees (996-2820)</t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</si>
  <si>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DAS- Health Insurance Surcharge ($2/mo/ee)</t>
    </r>
  </si>
  <si>
    <t>Jennifer Sammons</t>
  </si>
  <si>
    <t>Balance Forward (carry over)</t>
  </si>
  <si>
    <t>Paige Thorson</t>
  </si>
  <si>
    <t>Michael Pyevich</t>
  </si>
  <si>
    <t>Period 8- February 2025</t>
  </si>
  <si>
    <t>Shantel Billington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</si>
</sst>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.00;[Red]\(#,###.00\);0.00"/>
    <numFmt numFmtId="166" formatCode="#,###;[Red]\(#,###\);0"/>
    <numFmt numFmtId="167" formatCode="[$-409]mmmm\ d\,\ yyyy;@"/>
    <numFmt numFmtId="168" formatCode="_(&quot;$&quot;* #,##0_);_(&quot;$&quot;* \(#,##0\);_(&quot;$&quot;* &quot;-&quot;??_);_(@_)"/>
    <numFmt numFmtId="169" formatCode="0.0"/>
    <numFmt numFmtId="170" formatCode="0.000%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11"/>
      <color theme="0" tint="-0.249977111117893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theme="0" tint="-0.24997711111789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color rgb="FFFF0000"/>
      <name val="Times New Roman"/>
      <family val="1"/>
    </font>
    <font>
      <b/>
      <sz val="14"/>
      <color rgb="FF339966"/>
      <name val="Times New Roman"/>
      <family val="1"/>
    </font>
    <font>
      <u/>
      <sz val="10"/>
      <color theme="10"/>
      <name val="Arial"/>
      <family val="2"/>
    </font>
    <font>
      <b/>
      <sz val="12"/>
      <color indexed="8"/>
      <name val="Arial"/>
      <family val="2"/>
    </font>
    <font>
      <b/>
      <sz val="12"/>
      <color theme="3" tint="-0.249977111117893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u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5FA3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i/>
      <sz val="14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4" tint="-0.49998474074526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7" fillId="0" borderId="0" applyNumberFormat="0" applyFill="0" applyBorder="0" applyAlignment="0" applyProtection="0"/>
    <xf numFmtId="0" fontId="3" fillId="0" borderId="0"/>
    <xf numFmtId="44" fontId="33" fillId="0" borderId="0" applyFont="0" applyFill="0" applyBorder="0" applyAlignment="0" applyProtection="0"/>
    <xf numFmtId="0" fontId="2" fillId="0" borderId="0"/>
    <xf numFmtId="0" fontId="11" fillId="0" borderId="0"/>
    <xf numFmtId="9" fontId="11" fillId="0" borderId="0" applyFont="0" applyFill="0" applyBorder="0" applyAlignment="0" applyProtection="0"/>
  </cellStyleXfs>
  <cellXfs count="423">
    <xf numFmtId="0" fontId="0" fillId="0" borderId="0" xfId="0"/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37" fontId="0" fillId="0" borderId="0" xfId="0" applyNumberFormat="1"/>
    <xf numFmtId="165" fontId="5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0" fillId="0" borderId="0" xfId="0" applyFill="1"/>
    <xf numFmtId="43" fontId="0" fillId="0" borderId="0" xfId="0" applyNumberFormat="1"/>
    <xf numFmtId="49" fontId="5" fillId="2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4" fillId="0" borderId="0" xfId="0" applyFont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/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0" xfId="0" quotePrefix="1" applyFont="1" applyFill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0" applyFont="1" applyFill="1" applyAlignment="1">
      <alignment horizontal="left" vertical="center" indent="4"/>
    </xf>
    <xf numFmtId="0" fontId="11" fillId="0" borderId="0" xfId="0" applyFont="1" applyFill="1" applyAlignment="1">
      <alignment horizontal="left" vertical="center" wrapText="1"/>
    </xf>
    <xf numFmtId="0" fontId="24" fillId="0" borderId="0" xfId="0" applyFont="1" applyFill="1"/>
    <xf numFmtId="0" fontId="22" fillId="0" borderId="0" xfId="0" applyFont="1" applyFill="1" applyAlignment="1">
      <alignment horizontal="left"/>
    </xf>
    <xf numFmtId="49" fontId="28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0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left"/>
    </xf>
    <xf numFmtId="49" fontId="28" fillId="4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center" wrapText="1"/>
    </xf>
    <xf numFmtId="49" fontId="28" fillId="5" borderId="0" xfId="0" applyNumberFormat="1" applyFont="1" applyFill="1" applyAlignment="1">
      <alignment horizontal="right"/>
    </xf>
    <xf numFmtId="49" fontId="28" fillId="6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left"/>
    </xf>
    <xf numFmtId="164" fontId="28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49" fontId="28" fillId="2" borderId="0" xfId="0" applyNumberFormat="1" applyFont="1" applyFill="1" applyBorder="1" applyAlignment="1">
      <alignment horizontal="left"/>
    </xf>
    <xf numFmtId="49" fontId="28" fillId="7" borderId="0" xfId="0" applyNumberFormat="1" applyFont="1" applyFill="1" applyAlignment="1">
      <alignment horizontal="right"/>
    </xf>
    <xf numFmtId="49" fontId="28" fillId="2" borderId="0" xfId="0" applyNumberFormat="1" applyFont="1" applyFill="1" applyBorder="1" applyAlignment="1">
      <alignment horizontal="left" wrapText="1"/>
    </xf>
    <xf numFmtId="49" fontId="28" fillId="4" borderId="0" xfId="0" applyNumberFormat="1" applyFont="1" applyFill="1" applyAlignment="1">
      <alignment horizontal="center"/>
    </xf>
    <xf numFmtId="49" fontId="28" fillId="5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9" fontId="10" fillId="0" borderId="0" xfId="2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Border="1"/>
    <xf numFmtId="0" fontId="20" fillId="0" borderId="0" xfId="0" applyFont="1" applyFill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Fill="1"/>
    <xf numFmtId="0" fontId="31" fillId="0" borderId="0" xfId="0" applyFont="1" applyFill="1" applyBorder="1"/>
    <xf numFmtId="2" fontId="31" fillId="0" borderId="0" xfId="0" applyNumberFormat="1" applyFont="1" applyFill="1" applyBorder="1"/>
    <xf numFmtId="49" fontId="28" fillId="4" borderId="0" xfId="0" applyNumberFormat="1" applyFont="1" applyFill="1" applyAlignment="1">
      <alignment horizontal="left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28" fillId="5" borderId="0" xfId="0" applyNumberFormat="1" applyFont="1" applyFill="1" applyAlignment="1">
      <alignment horizontal="center" wrapText="1"/>
    </xf>
    <xf numFmtId="168" fontId="24" fillId="0" borderId="0" xfId="8" applyNumberFormat="1" applyFont="1" applyFill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49" fontId="28" fillId="0" borderId="0" xfId="0" applyNumberFormat="1" applyFont="1" applyFill="1" applyAlignment="1">
      <alignment horizontal="left" vertical="center"/>
    </xf>
    <xf numFmtId="164" fontId="28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/>
    </xf>
    <xf numFmtId="49" fontId="10" fillId="0" borderId="0" xfId="0" applyNumberFormat="1" applyFont="1" applyFill="1" applyAlignment="1">
      <alignment vertical="center"/>
    </xf>
    <xf numFmtId="9" fontId="10" fillId="0" borderId="0" xfId="2" applyFont="1" applyFill="1" applyAlignment="1">
      <alignment horizontal="center" vertical="center"/>
    </xf>
    <xf numFmtId="37" fontId="29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43" fontId="28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9" fontId="28" fillId="2" borderId="0" xfId="0" applyNumberFormat="1" applyFont="1" applyFill="1" applyAlignment="1">
      <alignment horizontal="center"/>
    </xf>
    <xf numFmtId="164" fontId="28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right"/>
    </xf>
    <xf numFmtId="39" fontId="22" fillId="0" borderId="0" xfId="0" applyNumberFormat="1" applyFont="1" applyFill="1"/>
    <xf numFmtId="0" fontId="13" fillId="0" borderId="0" xfId="0" applyFont="1" applyFill="1" applyAlignment="1">
      <alignment vertical="center"/>
    </xf>
    <xf numFmtId="43" fontId="0" fillId="0" borderId="0" xfId="0" applyNumberFormat="1" applyFill="1"/>
    <xf numFmtId="43" fontId="11" fillId="0" borderId="0" xfId="0" applyNumberFormat="1" applyFont="1" applyFill="1"/>
    <xf numFmtId="0" fontId="22" fillId="0" borderId="0" xfId="0" applyFont="1" applyFill="1" applyAlignment="1">
      <alignment horizontal="left" vertical="center" indent="2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quotePrefix="1" applyFont="1" applyFill="1" applyAlignment="1">
      <alignment horizontal="left"/>
    </xf>
    <xf numFmtId="0" fontId="22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2" fillId="0" borderId="0" xfId="0" quotePrefix="1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36" fillId="0" borderId="3" xfId="0" applyFont="1" applyFill="1" applyBorder="1" applyAlignment="1">
      <alignment vertical="center"/>
    </xf>
    <xf numFmtId="0" fontId="22" fillId="0" borderId="3" xfId="0" quotePrefix="1" applyFont="1" applyFill="1" applyBorder="1" applyAlignment="1">
      <alignment horizontal="left" wrapText="1"/>
    </xf>
    <xf numFmtId="0" fontId="22" fillId="0" borderId="3" xfId="0" quotePrefix="1" applyFont="1" applyFill="1" applyBorder="1" applyAlignment="1">
      <alignment horizontal="left"/>
    </xf>
    <xf numFmtId="0" fontId="22" fillId="0" borderId="3" xfId="0" quotePrefix="1" applyFont="1" applyBorder="1" applyAlignment="1">
      <alignment horizontal="left" wrapText="1"/>
    </xf>
    <xf numFmtId="0" fontId="0" fillId="0" borderId="3" xfId="0" applyBorder="1"/>
    <xf numFmtId="0" fontId="25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left" vertical="center" wrapText="1"/>
    </xf>
    <xf numFmtId="0" fontId="0" fillId="0" borderId="3" xfId="0" applyFill="1" applyBorder="1"/>
    <xf numFmtId="0" fontId="18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37" fontId="29" fillId="0" borderId="0" xfId="0" applyNumberFormat="1" applyFont="1" applyFill="1" applyAlignment="1">
      <alignment vertical="center"/>
    </xf>
    <xf numFmtId="39" fontId="29" fillId="0" borderId="0" xfId="0" applyNumberFormat="1" applyFont="1" applyFill="1" applyAlignment="1">
      <alignment vertical="center"/>
    </xf>
    <xf numFmtId="0" fontId="19" fillId="0" borderId="0" xfId="0" applyFont="1" applyAlignment="1">
      <alignment horizontal="left" vertical="center" wrapText="1"/>
    </xf>
    <xf numFmtId="49" fontId="28" fillId="3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0" fillId="8" borderId="0" xfId="0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horizontal="left"/>
    </xf>
    <xf numFmtId="49" fontId="28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Border="1" applyAlignment="1">
      <alignment horizontal="center"/>
    </xf>
    <xf numFmtId="164" fontId="28" fillId="8" borderId="0" xfId="1" applyNumberFormat="1" applyFont="1" applyFill="1" applyBorder="1" applyAlignment="1">
      <alignment horizontal="center"/>
    </xf>
    <xf numFmtId="164" fontId="28" fillId="8" borderId="0" xfId="0" applyNumberFormat="1" applyFont="1" applyFill="1" applyBorder="1" applyAlignment="1"/>
    <xf numFmtId="164" fontId="10" fillId="8" borderId="0" xfId="0" applyNumberFormat="1" applyFont="1" applyFill="1" applyBorder="1" applyAlignment="1">
      <alignment horizontal="center"/>
    </xf>
    <xf numFmtId="9" fontId="10" fillId="8" borderId="0" xfId="2" applyFont="1" applyFill="1" applyBorder="1" applyAlignment="1">
      <alignment horizontal="center"/>
    </xf>
    <xf numFmtId="166" fontId="10" fillId="8" borderId="0" xfId="0" applyNumberFormat="1" applyFont="1" applyFill="1" applyBorder="1" applyAlignment="1">
      <alignment horizontal="right"/>
    </xf>
    <xf numFmtId="49" fontId="28" fillId="8" borderId="0" xfId="0" applyNumberFormat="1" applyFont="1" applyFill="1" applyBorder="1" applyAlignment="1">
      <alignment horizontal="left" vertical="center"/>
    </xf>
    <xf numFmtId="164" fontId="28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vertical="center"/>
    </xf>
    <xf numFmtId="164" fontId="10" fillId="8" borderId="0" xfId="0" applyNumberFormat="1" applyFont="1" applyFill="1" applyBorder="1" applyAlignment="1">
      <alignment horizontal="center" vertical="center"/>
    </xf>
    <xf numFmtId="9" fontId="10" fillId="8" borderId="0" xfId="2" applyFont="1" applyFill="1" applyBorder="1" applyAlignment="1">
      <alignment horizontal="center" vertical="center"/>
    </xf>
    <xf numFmtId="49" fontId="10" fillId="8" borderId="0" xfId="0" applyNumberFormat="1" applyFont="1" applyFill="1" applyBorder="1" applyAlignment="1"/>
    <xf numFmtId="164" fontId="28" fillId="8" borderId="0" xfId="0" applyNumberFormat="1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 vertical="center"/>
    </xf>
    <xf numFmtId="37" fontId="29" fillId="8" borderId="0" xfId="0" applyNumberFormat="1" applyFont="1" applyFill="1" applyBorder="1" applyAlignment="1">
      <alignment vertical="center"/>
    </xf>
    <xf numFmtId="37" fontId="29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 vertical="center"/>
    </xf>
    <xf numFmtId="0" fontId="22" fillId="8" borderId="0" xfId="0" applyFont="1" applyFill="1" applyBorder="1"/>
    <xf numFmtId="0" fontId="10" fillId="8" borderId="0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right" vertical="center"/>
    </xf>
    <xf numFmtId="43" fontId="28" fillId="8" borderId="0" xfId="0" applyNumberFormat="1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/>
    </xf>
    <xf numFmtId="0" fontId="34" fillId="8" borderId="0" xfId="0" applyFont="1" applyFill="1" applyBorder="1"/>
    <xf numFmtId="0" fontId="31" fillId="8" borderId="0" xfId="0" applyFont="1" applyFill="1" applyBorder="1"/>
    <xf numFmtId="0" fontId="22" fillId="8" borderId="0" xfId="0" applyFont="1" applyFill="1"/>
    <xf numFmtId="0" fontId="22" fillId="8" borderId="0" xfId="0" applyFont="1" applyFill="1" applyAlignment="1">
      <alignment horizontal="center"/>
    </xf>
    <xf numFmtId="0" fontId="32" fillId="8" borderId="0" xfId="0" applyFont="1" applyFill="1" applyBorder="1" applyAlignment="1">
      <alignment horizontal="center" vertical="center"/>
    </xf>
    <xf numFmtId="0" fontId="35" fillId="8" borderId="0" xfId="0" applyFont="1" applyFill="1" applyBorder="1" applyAlignment="1">
      <alignment horizontal="center"/>
    </xf>
    <xf numFmtId="0" fontId="31" fillId="8" borderId="0" xfId="0" applyFont="1" applyFill="1"/>
    <xf numFmtId="0" fontId="32" fillId="8" borderId="0" xfId="0" applyFont="1" applyFill="1" applyAlignment="1">
      <alignment horizontal="center" vertical="center"/>
    </xf>
    <xf numFmtId="0" fontId="32" fillId="8" borderId="0" xfId="0" applyFont="1" applyFill="1" applyBorder="1" applyAlignment="1">
      <alignment vertical="center"/>
    </xf>
    <xf numFmtId="0" fontId="35" fillId="8" borderId="0" xfId="0" applyFont="1" applyFill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 wrapText="1"/>
    </xf>
    <xf numFmtId="0" fontId="31" fillId="8" borderId="0" xfId="0" applyFont="1" applyFill="1" applyBorder="1" applyAlignment="1"/>
    <xf numFmtId="2" fontId="31" fillId="8" borderId="0" xfId="0" applyNumberFormat="1" applyFont="1" applyFill="1" applyBorder="1"/>
    <xf numFmtId="2" fontId="31" fillId="8" borderId="0" xfId="0" applyNumberFormat="1" applyFont="1" applyFill="1" applyBorder="1" applyAlignment="1"/>
    <xf numFmtId="0" fontId="17" fillId="8" borderId="0" xfId="0" applyFont="1" applyFill="1"/>
    <xf numFmtId="0" fontId="30" fillId="8" borderId="0" xfId="0" applyFont="1" applyFill="1" applyAlignment="1">
      <alignment horizontal="center" vertical="center"/>
    </xf>
    <xf numFmtId="41" fontId="31" fillId="8" borderId="0" xfId="0" applyNumberFormat="1" applyFont="1" applyFill="1" applyBorder="1"/>
    <xf numFmtId="0" fontId="0" fillId="8" borderId="0" xfId="0" applyFill="1" applyBorder="1"/>
    <xf numFmtId="0" fontId="31" fillId="8" borderId="0" xfId="0" applyFont="1" applyFill="1" applyAlignment="1">
      <alignment horizontal="center"/>
    </xf>
    <xf numFmtId="0" fontId="0" fillId="8" borderId="0" xfId="0" applyFill="1" applyBorder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0" fillId="8" borderId="0" xfId="0" applyFill="1"/>
    <xf numFmtId="0" fontId="24" fillId="8" borderId="0" xfId="0" applyFont="1" applyFill="1" applyAlignment="1">
      <alignment horizontal="center"/>
    </xf>
    <xf numFmtId="2" fontId="31" fillId="8" borderId="1" xfId="0" applyNumberFormat="1" applyFont="1" applyFill="1" applyBorder="1"/>
    <xf numFmtId="0" fontId="0" fillId="8" borderId="0" xfId="0" applyFill="1" applyAlignment="1">
      <alignment horizontal="center"/>
    </xf>
    <xf numFmtId="0" fontId="17" fillId="8" borderId="0" xfId="0" applyFont="1" applyFill="1" applyBorder="1" applyAlignment="1">
      <alignment wrapText="1"/>
    </xf>
    <xf numFmtId="41" fontId="17" fillId="8" borderId="0" xfId="0" applyNumberFormat="1" applyFont="1" applyFill="1" applyBorder="1"/>
    <xf numFmtId="0" fontId="10" fillId="8" borderId="0" xfId="0" applyFont="1" applyFill="1" applyAlignment="1">
      <alignment vertical="center"/>
    </xf>
    <xf numFmtId="49" fontId="28" fillId="8" borderId="0" xfId="0" applyNumberFormat="1" applyFont="1" applyFill="1" applyAlignment="1">
      <alignment horizontal="center"/>
    </xf>
    <xf numFmtId="0" fontId="5" fillId="8" borderId="0" xfId="0" applyFont="1" applyFill="1" applyAlignment="1">
      <alignment vertical="center"/>
    </xf>
    <xf numFmtId="49" fontId="10" fillId="8" borderId="0" xfId="0" applyNumberFormat="1" applyFont="1" applyFill="1" applyAlignment="1">
      <alignment horizontal="left"/>
    </xf>
    <xf numFmtId="49" fontId="28" fillId="8" borderId="0" xfId="0" applyNumberFormat="1" applyFont="1" applyFill="1" applyAlignment="1">
      <alignment horizontal="left"/>
    </xf>
    <xf numFmtId="164" fontId="28" fillId="8" borderId="0" xfId="0" applyNumberFormat="1" applyFont="1" applyFill="1" applyAlignment="1">
      <alignment horizontal="center"/>
    </xf>
    <xf numFmtId="164" fontId="28" fillId="8" borderId="0" xfId="1" applyNumberFormat="1" applyFont="1" applyFill="1" applyAlignment="1">
      <alignment horizontal="center"/>
    </xf>
    <xf numFmtId="0" fontId="13" fillId="8" borderId="0" xfId="0" applyFont="1" applyFill="1" applyAlignment="1">
      <alignment vertical="center"/>
    </xf>
    <xf numFmtId="164" fontId="10" fillId="8" borderId="0" xfId="0" applyNumberFormat="1" applyFont="1" applyFill="1" applyAlignment="1">
      <alignment horizontal="center"/>
    </xf>
    <xf numFmtId="9" fontId="10" fillId="8" borderId="0" xfId="2" applyFont="1" applyFill="1" applyAlignment="1">
      <alignment horizontal="center"/>
    </xf>
    <xf numFmtId="49" fontId="28" fillId="8" borderId="0" xfId="0" applyNumberFormat="1" applyFont="1" applyFill="1" applyAlignment="1">
      <alignment horizontal="left" vertical="center"/>
    </xf>
    <xf numFmtId="164" fontId="28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/>
    </xf>
    <xf numFmtId="49" fontId="10" fillId="8" borderId="0" xfId="0" applyNumberFormat="1" applyFont="1" applyFill="1" applyAlignment="1">
      <alignment vertical="center"/>
    </xf>
    <xf numFmtId="164" fontId="10" fillId="8" borderId="0" xfId="0" applyNumberFormat="1" applyFont="1" applyFill="1" applyAlignment="1">
      <alignment horizontal="center" vertical="center"/>
    </xf>
    <xf numFmtId="9" fontId="10" fillId="8" borderId="0" xfId="2" applyFont="1" applyFill="1" applyAlignment="1">
      <alignment horizontal="center" vertical="center"/>
    </xf>
    <xf numFmtId="164" fontId="5" fillId="8" borderId="0" xfId="0" applyNumberFormat="1" applyFont="1" applyFill="1" applyAlignment="1">
      <alignment vertical="center"/>
    </xf>
    <xf numFmtId="166" fontId="10" fillId="8" borderId="0" xfId="0" applyNumberFormat="1" applyFont="1" applyFill="1" applyAlignment="1">
      <alignment horizontal="center"/>
    </xf>
    <xf numFmtId="0" fontId="11" fillId="8" borderId="0" xfId="0" applyFont="1" applyFill="1"/>
    <xf numFmtId="49" fontId="28" fillId="8" borderId="0" xfId="0" applyNumberFormat="1" applyFont="1" applyFill="1" applyAlignment="1">
      <alignment horizontal="center" vertical="center"/>
    </xf>
    <xf numFmtId="37" fontId="29" fillId="8" borderId="0" xfId="0" applyNumberFormat="1" applyFont="1" applyFill="1" applyAlignment="1">
      <alignment vertical="center"/>
    </xf>
    <xf numFmtId="37" fontId="29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 vertical="center"/>
    </xf>
    <xf numFmtId="0" fontId="34" fillId="8" borderId="0" xfId="0" applyFont="1" applyFill="1"/>
    <xf numFmtId="0" fontId="32" fillId="8" borderId="0" xfId="0" applyFont="1" applyFill="1" applyAlignment="1">
      <alignment vertical="center"/>
    </xf>
    <xf numFmtId="0" fontId="31" fillId="8" borderId="0" xfId="0" applyFont="1" applyFill="1" applyAlignment="1">
      <alignment horizontal="center" vertical="center"/>
    </xf>
    <xf numFmtId="0" fontId="31" fillId="8" borderId="0" xfId="0" applyFont="1" applyFill="1" applyBorder="1" applyAlignment="1">
      <alignment horizontal="center" vertical="center"/>
    </xf>
    <xf numFmtId="0" fontId="31" fillId="8" borderId="0" xfId="0" applyFont="1" applyFill="1" applyAlignment="1"/>
    <xf numFmtId="164" fontId="31" fillId="8" borderId="0" xfId="0" applyNumberFormat="1" applyFont="1" applyFill="1" applyAlignment="1">
      <alignment horizontal="center"/>
    </xf>
    <xf numFmtId="0" fontId="17" fillId="8" borderId="0" xfId="0" applyFont="1" applyFill="1" applyAlignment="1">
      <alignment horizontal="center" wrapText="1"/>
    </xf>
    <xf numFmtId="0" fontId="17" fillId="8" borderId="0" xfId="0" applyFont="1" applyFill="1" applyAlignment="1">
      <alignment horizontal="center"/>
    </xf>
    <xf numFmtId="0" fontId="31" fillId="8" borderId="0" xfId="0" applyFont="1" applyFill="1" applyAlignment="1">
      <alignment wrapText="1"/>
    </xf>
    <xf numFmtId="0" fontId="17" fillId="8" borderId="0" xfId="0" applyFont="1" applyFill="1" applyAlignment="1">
      <alignment horizontal="left"/>
    </xf>
    <xf numFmtId="2" fontId="31" fillId="8" borderId="0" xfId="0" applyNumberFormat="1" applyFont="1" applyFill="1"/>
    <xf numFmtId="0" fontId="31" fillId="8" borderId="0" xfId="0" applyFont="1" applyFill="1" applyBorder="1" applyAlignment="1">
      <alignment wrapText="1"/>
    </xf>
    <xf numFmtId="0" fontId="31" fillId="8" borderId="0" xfId="0" applyFont="1" applyFill="1" applyAlignment="1">
      <alignment horizontal="right"/>
    </xf>
    <xf numFmtId="0" fontId="31" fillId="8" borderId="0" xfId="0" quotePrefix="1" applyFont="1" applyFill="1"/>
    <xf numFmtId="164" fontId="28" fillId="8" borderId="0" xfId="0" applyNumberFormat="1" applyFont="1" applyFill="1" applyAlignment="1"/>
    <xf numFmtId="49" fontId="10" fillId="8" borderId="0" xfId="0" applyNumberFormat="1" applyFont="1" applyFill="1" applyAlignment="1"/>
    <xf numFmtId="0" fontId="10" fillId="8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right" vertical="center"/>
    </xf>
    <xf numFmtId="43" fontId="28" fillId="8" borderId="0" xfId="0" applyNumberFormat="1" applyFont="1" applyFill="1" applyAlignment="1">
      <alignment horizontal="center" vertical="center"/>
    </xf>
    <xf numFmtId="0" fontId="31" fillId="8" borderId="0" xfId="0" quotePrefix="1" applyFont="1" applyFill="1" applyBorder="1" applyAlignment="1">
      <alignment horizontal="center"/>
    </xf>
    <xf numFmtId="0" fontId="31" fillId="8" borderId="0" xfId="0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Alignment="1">
      <alignment horizontal="right"/>
    </xf>
    <xf numFmtId="43" fontId="28" fillId="8" borderId="0" xfId="0" applyNumberFormat="1" applyFont="1" applyFill="1" applyAlignment="1">
      <alignment horizontal="right"/>
    </xf>
    <xf numFmtId="2" fontId="31" fillId="8" borderId="0" xfId="0" applyNumberFormat="1" applyFont="1" applyFill="1" applyBorder="1" applyAlignment="1">
      <alignment horizontal="center"/>
    </xf>
    <xf numFmtId="0" fontId="32" fillId="8" borderId="5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/>
    </xf>
    <xf numFmtId="0" fontId="22" fillId="8" borderId="6" xfId="0" applyFont="1" applyFill="1" applyBorder="1"/>
    <xf numFmtId="0" fontId="2" fillId="0" borderId="0" xfId="9"/>
    <xf numFmtId="0" fontId="37" fillId="0" borderId="0" xfId="9" applyFont="1"/>
    <xf numFmtId="169" fontId="12" fillId="0" borderId="0" xfId="9" applyNumberFormat="1" applyFont="1" applyBorder="1" applyAlignment="1">
      <alignment horizontal="center"/>
    </xf>
    <xf numFmtId="0" fontId="37" fillId="0" borderId="2" xfId="9" applyFont="1" applyBorder="1"/>
    <xf numFmtId="0" fontId="2" fillId="0" borderId="2" xfId="9" applyBorder="1"/>
    <xf numFmtId="169" fontId="12" fillId="0" borderId="2" xfId="9" applyNumberFormat="1" applyFont="1" applyBorder="1" applyAlignment="1">
      <alignment horizontal="center"/>
    </xf>
    <xf numFmtId="0" fontId="37" fillId="0" borderId="3" xfId="9" applyFont="1" applyBorder="1"/>
    <xf numFmtId="0" fontId="37" fillId="0" borderId="3" xfId="9" applyFont="1" applyBorder="1" applyAlignment="1">
      <alignment horizontal="center"/>
    </xf>
    <xf numFmtId="0" fontId="37" fillId="0" borderId="3" xfId="9" quotePrefix="1" applyFont="1" applyBorder="1" applyAlignment="1">
      <alignment horizontal="center"/>
    </xf>
    <xf numFmtId="0" fontId="12" fillId="0" borderId="3" xfId="9" applyFont="1" applyBorder="1" applyAlignment="1">
      <alignment horizontal="center"/>
    </xf>
    <xf numFmtId="0" fontId="38" fillId="0" borderId="6" xfId="9" applyFont="1" applyFill="1" applyBorder="1"/>
    <xf numFmtId="0" fontId="38" fillId="0" borderId="7" xfId="9" applyFont="1" applyFill="1" applyBorder="1"/>
    <xf numFmtId="37" fontId="2" fillId="0" borderId="7" xfId="9" applyNumberFormat="1" applyBorder="1"/>
    <xf numFmtId="0" fontId="38" fillId="0" borderId="8" xfId="9" applyFont="1" applyFill="1" applyBorder="1"/>
    <xf numFmtId="0" fontId="38" fillId="0" borderId="9" xfId="9" applyFont="1" applyFill="1" applyBorder="1"/>
    <xf numFmtId="37" fontId="2" fillId="0" borderId="9" xfId="9" applyNumberFormat="1" applyBorder="1"/>
    <xf numFmtId="49" fontId="39" fillId="0" borderId="8" xfId="9" applyNumberFormat="1" applyFont="1" applyFill="1" applyBorder="1"/>
    <xf numFmtId="49" fontId="39" fillId="0" borderId="9" xfId="9" applyNumberFormat="1" applyFont="1" applyFill="1" applyBorder="1"/>
    <xf numFmtId="37" fontId="2" fillId="0" borderId="9" xfId="9" applyNumberFormat="1" applyFill="1" applyBorder="1"/>
    <xf numFmtId="39" fontId="2" fillId="0" borderId="0" xfId="9" applyNumberFormat="1" applyAlignment="1">
      <alignment horizontal="center"/>
    </xf>
    <xf numFmtId="37" fontId="2" fillId="0" borderId="0" xfId="9" applyNumberFormat="1"/>
    <xf numFmtId="0" fontId="2" fillId="0" borderId="7" xfId="9" applyFill="1" applyBorder="1" applyAlignment="1">
      <alignment horizontal="center"/>
    </xf>
    <xf numFmtId="39" fontId="2" fillId="0" borderId="7" xfId="9" applyNumberFormat="1" applyFill="1" applyBorder="1" applyAlignment="1">
      <alignment horizontal="center"/>
    </xf>
    <xf numFmtId="37" fontId="2" fillId="0" borderId="7" xfId="9" applyNumberFormat="1" applyFill="1" applyBorder="1"/>
    <xf numFmtId="49" fontId="38" fillId="0" borderId="8" xfId="9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1" fillId="0" borderId="0" xfId="0" applyNumberFormat="1" applyFont="1"/>
    <xf numFmtId="0" fontId="12" fillId="0" borderId="0" xfId="0" applyFont="1"/>
    <xf numFmtId="49" fontId="40" fillId="0" borderId="0" xfId="0" applyNumberFormat="1" applyFont="1"/>
    <xf numFmtId="37" fontId="0" fillId="0" borderId="0" xfId="0" applyNumberFormat="1" applyAlignment="1"/>
    <xf numFmtId="0" fontId="0" fillId="9" borderId="0" xfId="0" applyFill="1"/>
    <xf numFmtId="37" fontId="0" fillId="9" borderId="0" xfId="0" applyNumberFormat="1" applyFill="1"/>
    <xf numFmtId="9" fontId="41" fillId="0" borderId="0" xfId="0" applyNumberFormat="1" applyFont="1"/>
    <xf numFmtId="0" fontId="11" fillId="0" borderId="0" xfId="3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1" fillId="0" borderId="0" xfId="10"/>
    <xf numFmtId="9" fontId="11" fillId="0" borderId="0" xfId="11" applyFont="1"/>
    <xf numFmtId="0" fontId="41" fillId="0" borderId="0" xfId="10" applyFont="1"/>
    <xf numFmtId="5" fontId="0" fillId="0" borderId="0" xfId="0" applyNumberFormat="1"/>
    <xf numFmtId="5" fontId="12" fillId="0" borderId="0" xfId="0" applyNumberFormat="1" applyFont="1"/>
    <xf numFmtId="5" fontId="12" fillId="9" borderId="0" xfId="0" applyNumberFormat="1" applyFont="1" applyFill="1"/>
    <xf numFmtId="5" fontId="40" fillId="0" borderId="1" xfId="0" applyNumberFormat="1" applyFont="1" applyBorder="1"/>
    <xf numFmtId="5" fontId="40" fillId="9" borderId="1" xfId="0" applyNumberFormat="1" applyFont="1" applyFill="1" applyBorder="1"/>
    <xf numFmtId="5" fontId="40" fillId="0" borderId="0" xfId="0" applyNumberFormat="1" applyFont="1"/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0" borderId="3" xfId="3" applyFont="1" applyFill="1" applyBorder="1" applyAlignment="1">
      <alignment horizontal="center" vertical="center" wrapText="1"/>
    </xf>
    <xf numFmtId="37" fontId="22" fillId="0" borderId="0" xfId="0" applyNumberFormat="1" applyFont="1"/>
    <xf numFmtId="37" fontId="22" fillId="0" borderId="2" xfId="0" applyNumberFormat="1" applyFont="1" applyBorder="1"/>
    <xf numFmtId="37" fontId="0" fillId="0" borderId="2" xfId="0" applyNumberFormat="1" applyBorder="1"/>
    <xf numFmtId="0" fontId="24" fillId="0" borderId="0" xfId="0" applyFont="1"/>
    <xf numFmtId="37" fontId="24" fillId="0" borderId="0" xfId="0" applyNumberFormat="1" applyFont="1"/>
    <xf numFmtId="164" fontId="24" fillId="0" borderId="10" xfId="0" applyNumberFormat="1" applyFont="1" applyBorder="1"/>
    <xf numFmtId="0" fontId="34" fillId="8" borderId="0" xfId="0" applyFont="1" applyFill="1" applyAlignment="1"/>
    <xf numFmtId="0" fontId="1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1" fillId="0" borderId="0" xfId="3" applyFill="1" applyAlignment="1">
      <alignment horizontal="center" vertical="center"/>
    </xf>
    <xf numFmtId="0" fontId="12" fillId="0" borderId="0" xfId="3" applyFont="1" applyFill="1" applyAlignment="1">
      <alignment horizontal="center" vertical="center" wrapText="1"/>
    </xf>
    <xf numFmtId="9" fontId="41" fillId="0" borderId="0" xfId="0" applyNumberFormat="1" applyFont="1" applyFill="1"/>
    <xf numFmtId="0" fontId="11" fillId="0" borderId="0" xfId="10" applyFont="1" applyFill="1"/>
    <xf numFmtId="0" fontId="11" fillId="0" borderId="0" xfId="10" applyFill="1"/>
    <xf numFmtId="9" fontId="11" fillId="0" borderId="0" xfId="11" applyFont="1" applyFill="1"/>
    <xf numFmtId="37" fontId="0" fillId="0" borderId="0" xfId="0" applyNumberFormat="1" applyFill="1"/>
    <xf numFmtId="37" fontId="0" fillId="0" borderId="0" xfId="0" applyNumberFormat="1" applyFill="1" applyAlignment="1"/>
    <xf numFmtId="0" fontId="41" fillId="0" borderId="0" xfId="10" applyFont="1" applyFill="1"/>
    <xf numFmtId="5" fontId="12" fillId="0" borderId="0" xfId="0" applyNumberFormat="1" applyFont="1" applyFill="1"/>
    <xf numFmtId="5" fontId="40" fillId="0" borderId="0" xfId="0" applyNumberFormat="1" applyFont="1" applyFill="1"/>
    <xf numFmtId="5" fontId="0" fillId="0" borderId="0" xfId="0" applyNumberFormat="1" applyFill="1"/>
    <xf numFmtId="5" fontId="12" fillId="0" borderId="0" xfId="0" applyNumberFormat="1" applyFont="1" applyFill="1" applyBorder="1"/>
    <xf numFmtId="5" fontId="40" fillId="0" borderId="0" xfId="0" applyNumberFormat="1" applyFont="1" applyFill="1" applyBorder="1"/>
    <xf numFmtId="166" fontId="10" fillId="8" borderId="0" xfId="0" applyNumberFormat="1" applyFont="1" applyFill="1" applyAlignment="1"/>
    <xf numFmtId="9" fontId="0" fillId="0" borderId="0" xfId="2" applyFont="1"/>
    <xf numFmtId="164" fontId="0" fillId="0" borderId="0" xfId="0" applyNumberFormat="1" applyFill="1"/>
    <xf numFmtId="0" fontId="22" fillId="8" borderId="0" xfId="0" applyFont="1" applyFill="1" applyBorder="1" applyAlignment="1">
      <alignment vertical="center"/>
    </xf>
    <xf numFmtId="49" fontId="22" fillId="8" borderId="0" xfId="0" applyNumberFormat="1" applyFont="1" applyFill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2" fontId="31" fillId="8" borderId="0" xfId="0" applyNumberFormat="1" applyFont="1" applyFill="1" applyBorder="1" applyAlignment="1">
      <alignment horizontal="center"/>
    </xf>
    <xf numFmtId="0" fontId="17" fillId="0" borderId="0" xfId="0" applyFont="1"/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1" fillId="0" borderId="0" xfId="9" applyFont="1"/>
    <xf numFmtId="170" fontId="2" fillId="0" borderId="0" xfId="2" applyNumberFormat="1" applyFont="1"/>
    <xf numFmtId="170" fontId="2" fillId="0" borderId="0" xfId="9" applyNumberFormat="1"/>
    <xf numFmtId="37" fontId="2" fillId="0" borderId="0" xfId="9" applyNumberFormat="1" applyFill="1" applyBorder="1"/>
    <xf numFmtId="37" fontId="2" fillId="0" borderId="0" xfId="9" applyNumberFormat="1" applyBorder="1"/>
    <xf numFmtId="0" fontId="22" fillId="8" borderId="4" xfId="0" applyFont="1" applyFill="1" applyBorder="1"/>
    <xf numFmtId="0" fontId="9" fillId="0" borderId="0" xfId="0" applyFont="1"/>
    <xf numFmtId="0" fontId="43" fillId="0" borderId="0" xfId="0" applyFont="1" applyAlignment="1">
      <alignment horizontal="right"/>
    </xf>
    <xf numFmtId="9" fontId="22" fillId="0" borderId="0" xfId="2" applyFont="1"/>
    <xf numFmtId="2" fontId="31" fillId="8" borderId="0" xfId="0" applyNumberFormat="1" applyFont="1" applyFill="1" applyBorder="1" applyAlignment="1">
      <alignment horizontal="center"/>
    </xf>
    <xf numFmtId="0" fontId="22" fillId="8" borderId="11" xfId="0" applyFont="1" applyFill="1" applyBorder="1"/>
    <xf numFmtId="37" fontId="0" fillId="0" borderId="9" xfId="0" applyNumberFormat="1" applyBorder="1"/>
    <xf numFmtId="0" fontId="17" fillId="8" borderId="12" xfId="0" applyFont="1" applyFill="1" applyBorder="1" applyAlignment="1">
      <alignment horizontal="center" wrapText="1"/>
    </xf>
    <xf numFmtId="0" fontId="30" fillId="0" borderId="13" xfId="0" applyFont="1" applyFill="1" applyBorder="1" applyAlignment="1"/>
    <xf numFmtId="0" fontId="32" fillId="0" borderId="8" xfId="0" applyFont="1" applyFill="1" applyBorder="1" applyAlignment="1">
      <alignment horizontal="center" vertical="center"/>
    </xf>
    <xf numFmtId="0" fontId="22" fillId="8" borderId="4" xfId="0" quotePrefix="1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2" fontId="31" fillId="8" borderId="5" xfId="0" applyNumberFormat="1" applyFont="1" applyFill="1" applyBorder="1"/>
    <xf numFmtId="0" fontId="22" fillId="8" borderId="4" xfId="0" applyFont="1" applyFill="1" applyBorder="1" applyAlignment="1">
      <alignment horizontal="left"/>
    </xf>
    <xf numFmtId="0" fontId="22" fillId="8" borderId="4" xfId="0" quotePrefix="1" applyFont="1" applyFill="1" applyBorder="1"/>
    <xf numFmtId="0" fontId="22" fillId="0" borderId="13" xfId="0" applyFont="1" applyBorder="1"/>
    <xf numFmtId="0" fontId="22" fillId="0" borderId="13" xfId="0" applyFont="1" applyBorder="1" applyAlignment="1">
      <alignment horizontal="center" vertical="center"/>
    </xf>
    <xf numFmtId="0" fontId="17" fillId="8" borderId="13" xfId="0" applyFont="1" applyFill="1" applyBorder="1" applyAlignment="1"/>
    <xf numFmtId="0" fontId="17" fillId="8" borderId="8" xfId="0" applyFont="1" applyFill="1" applyBorder="1" applyAlignment="1">
      <alignment horizontal="right" wrapText="1"/>
    </xf>
    <xf numFmtId="0" fontId="22" fillId="0" borderId="12" xfId="0" applyFont="1" applyBorder="1"/>
    <xf numFmtId="0" fontId="17" fillId="0" borderId="13" xfId="0" applyFont="1" applyBorder="1"/>
    <xf numFmtId="0" fontId="17" fillId="0" borderId="8" xfId="0" applyFont="1" applyBorder="1" applyAlignment="1">
      <alignment horizontal="center"/>
    </xf>
    <xf numFmtId="9" fontId="22" fillId="0" borderId="0" xfId="2" applyFont="1" applyFill="1"/>
    <xf numFmtId="0" fontId="22" fillId="0" borderId="2" xfId="0" applyFont="1" applyBorder="1"/>
    <xf numFmtId="0" fontId="22" fillId="0" borderId="2" xfId="0" applyFont="1" applyBorder="1" applyAlignment="1">
      <alignment horizontal="center" vertical="center"/>
    </xf>
    <xf numFmtId="0" fontId="22" fillId="8" borderId="2" xfId="0" applyFont="1" applyFill="1" applyBorder="1"/>
    <xf numFmtId="0" fontId="31" fillId="8" borderId="2" xfId="0" applyFont="1" applyFill="1" applyBorder="1"/>
    <xf numFmtId="0" fontId="17" fillId="8" borderId="2" xfId="0" applyFont="1" applyFill="1" applyBorder="1" applyAlignment="1">
      <alignment horizontal="right"/>
    </xf>
    <xf numFmtId="2" fontId="17" fillId="8" borderId="2" xfId="0" applyNumberFormat="1" applyFont="1" applyFill="1" applyBorder="1"/>
    <xf numFmtId="2" fontId="31" fillId="8" borderId="2" xfId="0" applyNumberFormat="1" applyFont="1" applyFill="1" applyBorder="1"/>
    <xf numFmtId="0" fontId="17" fillId="8" borderId="13" xfId="0" applyFont="1" applyFill="1" applyBorder="1" applyAlignment="1">
      <alignment horizontal="right" wrapText="1"/>
    </xf>
    <xf numFmtId="2" fontId="31" fillId="8" borderId="6" xfId="0" applyNumberFormat="1" applyFont="1" applyFill="1" applyBorder="1"/>
    <xf numFmtId="2" fontId="17" fillId="8" borderId="6" xfId="0" applyNumberFormat="1" applyFont="1" applyFill="1" applyBorder="1"/>
    <xf numFmtId="37" fontId="2" fillId="10" borderId="9" xfId="9" applyNumberFormat="1" applyFill="1" applyBorder="1"/>
    <xf numFmtId="0" fontId="31" fillId="0" borderId="5" xfId="0" applyFont="1" applyFill="1" applyBorder="1" applyAlignment="1">
      <alignment horizontal="center"/>
    </xf>
    <xf numFmtId="0" fontId="22" fillId="0" borderId="5" xfId="0" applyFont="1" applyFill="1" applyBorder="1"/>
    <xf numFmtId="0" fontId="31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31" fillId="0" borderId="0" xfId="0" applyFont="1" applyBorder="1"/>
    <xf numFmtId="0" fontId="18" fillId="0" borderId="0" xfId="0" applyFont="1" applyFill="1" applyAlignment="1">
      <alignment vertical="center"/>
    </xf>
    <xf numFmtId="0" fontId="44" fillId="0" borderId="0" xfId="0" applyFont="1"/>
    <xf numFmtId="49" fontId="45" fillId="4" borderId="0" xfId="0" applyNumberFormat="1" applyFont="1" applyFill="1" applyAlignment="1">
      <alignment horizontal="center"/>
    </xf>
    <xf numFmtId="37" fontId="28" fillId="0" borderId="0" xfId="0" applyNumberFormat="1" applyFont="1" applyFill="1" applyAlignment="1">
      <alignment horizontal="center" vertical="center"/>
    </xf>
    <xf numFmtId="37" fontId="0" fillId="0" borderId="2" xfId="0" applyNumberFormat="1" applyFill="1" applyBorder="1"/>
    <xf numFmtId="37" fontId="24" fillId="0" borderId="0" xfId="0" applyNumberFormat="1" applyFont="1" applyFill="1"/>
    <xf numFmtId="37" fontId="22" fillId="0" borderId="0" xfId="0" applyNumberFormat="1" applyFont="1" applyFill="1"/>
    <xf numFmtId="37" fontId="24" fillId="0" borderId="10" xfId="0" applyNumberFormat="1" applyFont="1" applyFill="1" applyBorder="1"/>
    <xf numFmtId="164" fontId="24" fillId="0" borderId="10" xfId="0" applyNumberFormat="1" applyFont="1" applyFill="1" applyBorder="1"/>
    <xf numFmtId="164" fontId="24" fillId="8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 vertical="center"/>
    </xf>
    <xf numFmtId="37" fontId="46" fillId="0" borderId="0" xfId="0" applyNumberFormat="1" applyFont="1" applyFill="1" applyAlignment="1">
      <alignment vertical="center"/>
    </xf>
    <xf numFmtId="37" fontId="22" fillId="0" borderId="2" xfId="0" applyNumberFormat="1" applyFont="1" applyFill="1" applyBorder="1"/>
    <xf numFmtId="0" fontId="30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47" fillId="8" borderId="4" xfId="0" quotePrefix="1" applyFont="1" applyFill="1" applyBorder="1"/>
    <xf numFmtId="0" fontId="22" fillId="0" borderId="4" xfId="0" quotePrefix="1" applyFont="1" applyFill="1" applyBorder="1" applyAlignment="1">
      <alignment horizontal="left"/>
    </xf>
    <xf numFmtId="2" fontId="31" fillId="0" borderId="0" xfId="0" applyNumberFormat="1" applyFont="1" applyFill="1" applyBorder="1" applyAlignment="1"/>
    <xf numFmtId="2" fontId="31" fillId="0" borderId="5" xfId="0" applyNumberFormat="1" applyFont="1" applyFill="1" applyBorder="1"/>
    <xf numFmtId="0" fontId="22" fillId="0" borderId="0" xfId="0" applyFont="1" applyFill="1" applyAlignment="1">
      <alignment horizontal="center" vertical="center"/>
    </xf>
    <xf numFmtId="2" fontId="31" fillId="0" borderId="0" xfId="0" applyNumberFormat="1" applyFont="1" applyFill="1"/>
    <xf numFmtId="0" fontId="22" fillId="0" borderId="11" xfId="0" applyFont="1" applyFill="1" applyBorder="1" applyAlignment="1">
      <alignment horizontal="left"/>
    </xf>
    <xf numFmtId="2" fontId="31" fillId="0" borderId="2" xfId="0" applyNumberFormat="1" applyFont="1" applyFill="1" applyBorder="1" applyAlignment="1"/>
    <xf numFmtId="0" fontId="22" fillId="0" borderId="2" xfId="0" applyFont="1" applyFill="1" applyBorder="1"/>
    <xf numFmtId="0" fontId="22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/>
    <xf numFmtId="2" fontId="31" fillId="0" borderId="2" xfId="0" applyNumberFormat="1" applyFont="1" applyFill="1" applyBorder="1"/>
    <xf numFmtId="2" fontId="31" fillId="0" borderId="6" xfId="0" applyNumberFormat="1" applyFont="1" applyFill="1" applyBorder="1"/>
    <xf numFmtId="0" fontId="17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Alignment="1"/>
    <xf numFmtId="166" fontId="10" fillId="0" borderId="0" xfId="0" applyNumberFormat="1" applyFont="1" applyFill="1" applyAlignment="1">
      <alignment horizontal="center"/>
    </xf>
    <xf numFmtId="166" fontId="10" fillId="0" borderId="0" xfId="0" applyNumberFormat="1" applyFont="1" applyFill="1" applyAlignment="1"/>
    <xf numFmtId="0" fontId="34" fillId="0" borderId="0" xfId="0" applyFont="1" applyFill="1"/>
    <xf numFmtId="0" fontId="32" fillId="0" borderId="0" xfId="0" applyFont="1" applyFill="1" applyAlignment="1">
      <alignment vertical="center"/>
    </xf>
    <xf numFmtId="0" fontId="34" fillId="0" borderId="0" xfId="0" applyFont="1" applyFill="1" applyAlignment="1"/>
    <xf numFmtId="49" fontId="28" fillId="0" borderId="0" xfId="0" applyNumberFormat="1" applyFont="1" applyFill="1" applyAlignment="1">
      <alignment horizontal="center" vertical="center"/>
    </xf>
    <xf numFmtId="6" fontId="22" fillId="0" borderId="0" xfId="1" applyNumberFormat="1" applyFont="1" applyFill="1" applyAlignment="1">
      <alignment vertical="center"/>
    </xf>
    <xf numFmtId="6" fontId="22" fillId="0" borderId="1" xfId="1" applyNumberFormat="1" applyFont="1" applyFill="1" applyBorder="1" applyAlignment="1">
      <alignment vertical="center"/>
    </xf>
    <xf numFmtId="6" fontId="22" fillId="0" borderId="0" xfId="1" applyNumberFormat="1" applyFont="1" applyFill="1" applyBorder="1" applyAlignment="1">
      <alignment horizontal="right" vertical="center" wrapText="1"/>
    </xf>
    <xf numFmtId="0" fontId="27" fillId="0" borderId="0" xfId="6" applyFill="1" applyAlignment="1">
      <alignment horizontal="center"/>
    </xf>
    <xf numFmtId="0" fontId="22" fillId="0" borderId="0" xfId="0" quotePrefix="1" applyFont="1" applyFill="1"/>
    <xf numFmtId="0" fontId="22" fillId="0" borderId="4" xfId="0" applyFont="1" applyFill="1" applyBorder="1"/>
    <xf numFmtId="0" fontId="42" fillId="0" borderId="2" xfId="0" applyFont="1" applyFill="1" applyBorder="1"/>
    <xf numFmtId="167" fontId="18" fillId="0" borderId="0" xfId="0" quotePrefix="1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2" fontId="31" fillId="8" borderId="0" xfId="0" applyNumberFormat="1" applyFont="1" applyFill="1" applyBorder="1" applyAlignment="1">
      <alignment horizontal="center"/>
    </xf>
  </cellXfs>
  <cellStyles count="12">
    <cellStyle name="Comma" xfId="1" builtinId="3"/>
    <cellStyle name="Currency" xfId="8" builtinId="4"/>
    <cellStyle name="Hyperlink" xfId="6" builtinId="8"/>
    <cellStyle name="Normal" xfId="0" builtinId="0"/>
    <cellStyle name="Normal 2" xfId="3" xr:uid="{00000000-0005-0000-0000-000004000000}"/>
    <cellStyle name="Normal 2 2" xfId="10" xr:uid="{00000000-0005-0000-0000-000005000000}"/>
    <cellStyle name="Normal 3" xfId="7" xr:uid="{00000000-0005-0000-0000-000006000000}"/>
    <cellStyle name="Normal 4" xfId="4" xr:uid="{00000000-0005-0000-0000-000007000000}"/>
    <cellStyle name="Normal 4 2" xfId="5" xr:uid="{00000000-0005-0000-0000-000008000000}"/>
    <cellStyle name="Normal 5" xfId="9" xr:uid="{00000000-0005-0000-0000-000009000000}"/>
    <cellStyle name="Percent" xfId="2" builtinId="5"/>
    <cellStyle name="Percent 2" xfId="11" xr:uid="{00000000-0005-0000-0000-00000B000000}"/>
  </cellStyles>
  <dxfs count="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99"/>
      <color rgb="FFF5F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Receipts July 2024-June 2025</a:t>
            </a:r>
          </a:p>
        </c:rich>
      </c:tx>
      <c:layout>
        <c:manualLayout>
          <c:xMode val="edge"/>
          <c:yMode val="edge"/>
          <c:x val="0.33246571954020548"/>
          <c:y val="1.011433660225506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Licensure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MO'!$D$12:$O$12</c:f>
              <c:numCache>
                <c:formatCode>#,##0_);\(#,##0\)</c:formatCode>
                <c:ptCount val="12"/>
                <c:pt idx="0">
                  <c:v>174861.75</c:v>
                </c:pt>
                <c:pt idx="1">
                  <c:v>205578</c:v>
                </c:pt>
                <c:pt idx="2">
                  <c:v>117549.75</c:v>
                </c:pt>
                <c:pt idx="3">
                  <c:v>125126.25</c:v>
                </c:pt>
                <c:pt idx="4">
                  <c:v>97761.75</c:v>
                </c:pt>
                <c:pt idx="5">
                  <c:v>103017.75</c:v>
                </c:pt>
                <c:pt idx="6">
                  <c:v>149394.75</c:v>
                </c:pt>
                <c:pt idx="7">
                  <c:v>123095.25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0-483B-8E68-A9BEBDCC3ADA}"/>
            </c:ext>
          </c:extLst>
        </c:ser>
        <c:ser>
          <c:idx val="1"/>
          <c:order val="1"/>
          <c:tx>
            <c:v>DCI Check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MO'!$D$14:$O$14</c:f>
              <c:numCache>
                <c:formatCode>#,##0_);\(#,##0\)</c:formatCode>
                <c:ptCount val="12"/>
                <c:pt idx="0">
                  <c:v>49155</c:v>
                </c:pt>
                <c:pt idx="1">
                  <c:v>58365</c:v>
                </c:pt>
                <c:pt idx="2">
                  <c:v>43370</c:v>
                </c:pt>
                <c:pt idx="3">
                  <c:v>45381.25</c:v>
                </c:pt>
                <c:pt idx="4">
                  <c:v>35055</c:v>
                </c:pt>
                <c:pt idx="5">
                  <c:v>38325</c:v>
                </c:pt>
                <c:pt idx="6">
                  <c:v>58435</c:v>
                </c:pt>
                <c:pt idx="7">
                  <c:v>45595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0-483B-8E68-A9BEBDCC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57008"/>
        <c:axId val="165155832"/>
      </c:barChart>
      <c:catAx>
        <c:axId val="16515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155832"/>
        <c:crosses val="autoZero"/>
        <c:auto val="1"/>
        <c:lblAlgn val="ctr"/>
        <c:lblOffset val="100"/>
        <c:noMultiLvlLbl val="0"/>
      </c:catAx>
      <c:valAx>
        <c:axId val="165155832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651570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2018-June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D4-4FEF-ABF0-6D375D2FDA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D4-4FEF-ABF0-6D375D2FDA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D4-4FEF-ABF0-6D375D2FDA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D4-4FEF-ABF0-6D375D2FDA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D4-4FEF-ABF0-6D375D2FDA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D4-4FEF-ABF0-6D375D2FDA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D4-4FEF-ABF0-6D375D2FDAD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D4-4FEF-ABF0-6D375D2FDAD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D4-4FEF-ABF0-6D375D2FDAD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4D4-4FEF-ABF0-6D375D2FDAD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4D4-4FEF-ABF0-6D375D2FDAD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4D4-4FEF-ABF0-6D375D2FDAD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4D4-4FEF-ABF0-6D375D2FDAD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4D4-4FEF-ABF0-6D375D2FDAD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4D4-4FEF-ABF0-6D375D2FDAD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4D4-4FEF-ABF0-6D375D2FDAD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4D4-4FEF-ABF0-6D375D2FDAD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4D4-4FEF-ABF0-6D375D2FDAD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4D4-4FEF-ABF0-6D375D2FDAD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4D4-4FEF-ABF0-6D375D2FDAD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4D4-4FEF-ABF0-6D375D2FDAD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4D4-4FEF-ABF0-6D375D2FDAD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4D4-4FEF-ABF0-6D375D2FDAD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4D4-4FEF-ABF0-6D375D2FDAD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4D4-4FEF-ABF0-6D375D2FDAD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74D4-4FEF-ABF0-6D375D2FDAD6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4D4-4FEF-ABF0-6D375D2FDAD6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1BD6-4BD1-B1FF-B4B5259D0C3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FC55-4A72-8948-5BC41C465116}"/>
              </c:ext>
            </c:extLst>
          </c:dPt>
          <c:dLbls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4D4-4FEF-ABF0-6D375D2FDAD6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4D4-4FEF-ABF0-6D375D2FDAD6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4D4-4FEF-ABF0-6D375D2FDAD6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4D4-4FEF-ABF0-6D375D2FDAD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6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'9397 BOEE'!$B$19:$B$46</c15:sqref>
                  </c15:fullRef>
                </c:ext>
              </c:extLst>
              <c:f>('9397 BOEE'!$B$19:$B$36,'9397 BOEE'!$B$38:$B$46)</c:f>
              <c:strCache>
                <c:ptCount val="27"/>
                <c:pt idx="0">
                  <c:v>Personal Services</c:v>
                </c:pt>
                <c:pt idx="1">
                  <c:v>In State Travel</c:v>
                </c:pt>
                <c:pt idx="2">
                  <c:v>Out Of State Travel</c:v>
                </c:pt>
                <c:pt idx="3">
                  <c:v>Office Supplies</c:v>
                </c:pt>
                <c:pt idx="4">
                  <c:v>Facility Maintenance Supplies</c:v>
                </c:pt>
                <c:pt idx="5">
                  <c:v>Other Supplies</c:v>
                </c:pt>
                <c:pt idx="6">
                  <c:v>Printing &amp; Binding</c:v>
                </c:pt>
                <c:pt idx="7">
                  <c:v>Food</c:v>
                </c:pt>
                <c:pt idx="8">
                  <c:v>Postage</c:v>
                </c:pt>
                <c:pt idx="9">
                  <c:v>Communications</c:v>
                </c:pt>
                <c:pt idx="10">
                  <c:v>Rentals</c:v>
                </c:pt>
                <c:pt idx="11">
                  <c:v>Utilities</c:v>
                </c:pt>
                <c:pt idx="12">
                  <c:v>Prof &amp; Scientific Services</c:v>
                </c:pt>
                <c:pt idx="13">
                  <c:v>Outside Services</c:v>
                </c:pt>
                <c:pt idx="14">
                  <c:v>Advertising &amp; Publicity</c:v>
                </c:pt>
                <c:pt idx="15">
                  <c:v>Outside Repairs/Service</c:v>
                </c:pt>
                <c:pt idx="16">
                  <c:v>Reimbursements To Other Agency</c:v>
                </c:pt>
                <c:pt idx="17">
                  <c:v>ITD Reimbursements</c:v>
                </c:pt>
                <c:pt idx="18">
                  <c:v>Attorney General Reimbursement</c:v>
                </c:pt>
                <c:pt idx="19">
                  <c:v>Gov Transfer Other Agencies</c:v>
                </c:pt>
                <c:pt idx="20">
                  <c:v>Equipment</c:v>
                </c:pt>
                <c:pt idx="21">
                  <c:v>Office Equipment</c:v>
                </c:pt>
                <c:pt idx="22">
                  <c:v>Equipment-Non Inventory</c:v>
                </c:pt>
                <c:pt idx="23">
                  <c:v>IT Equipment &amp; Software</c:v>
                </c:pt>
                <c:pt idx="24">
                  <c:v>Other Expenses &amp; Obligations</c:v>
                </c:pt>
                <c:pt idx="25">
                  <c:v>Fees</c:v>
                </c:pt>
                <c:pt idx="26">
                  <c:v>Refunds-Other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'9397 BOEE'!$S$19:$S$45</c15:sqref>
                  </c15:fullRef>
                </c:ext>
              </c:extLst>
              <c:f>('9397 BOEE'!$S$19:$S$36,'9397 BOEE'!$S$38:$S$45)</c:f>
              <c:numCache>
                <c:formatCode>_(* #,##0_);_(* \(#,##0\);_(* "-"??_);_(@_)</c:formatCode>
                <c:ptCount val="26"/>
                <c:pt idx="0">
                  <c:v>1163400.76</c:v>
                </c:pt>
                <c:pt idx="1">
                  <c:v>6964.4900000000007</c:v>
                </c:pt>
                <c:pt idx="2">
                  <c:v>385.68</c:v>
                </c:pt>
                <c:pt idx="3">
                  <c:v>1022.3599999999999</c:v>
                </c:pt>
                <c:pt idx="4">
                  <c:v>0</c:v>
                </c:pt>
                <c:pt idx="5">
                  <c:v>0</c:v>
                </c:pt>
                <c:pt idx="6">
                  <c:v>160</c:v>
                </c:pt>
                <c:pt idx="7">
                  <c:v>0</c:v>
                </c:pt>
                <c:pt idx="8">
                  <c:v>3245.2000000000003</c:v>
                </c:pt>
                <c:pt idx="9">
                  <c:v>9751.880000000001</c:v>
                </c:pt>
                <c:pt idx="10">
                  <c:v>36750</c:v>
                </c:pt>
                <c:pt idx="11">
                  <c:v>1548.4899999999998</c:v>
                </c:pt>
                <c:pt idx="12">
                  <c:v>2183.92</c:v>
                </c:pt>
                <c:pt idx="13">
                  <c:v>3196.93</c:v>
                </c:pt>
                <c:pt idx="14">
                  <c:v>0</c:v>
                </c:pt>
                <c:pt idx="15">
                  <c:v>211.89999999999998</c:v>
                </c:pt>
                <c:pt idx="16">
                  <c:v>6770.3799999999992</c:v>
                </c:pt>
                <c:pt idx="17">
                  <c:v>198203.95</c:v>
                </c:pt>
                <c:pt idx="18">
                  <c:v>0</c:v>
                </c:pt>
                <c:pt idx="19">
                  <c:v>88085.079999999987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21494.880000000001</c:v>
                </c:pt>
                <c:pt idx="24">
                  <c:v>19073.330000000002</c:v>
                </c:pt>
                <c:pt idx="2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6-74D4-4FEF-ABF0-6D375D2FDA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2024-June 2025</a:t>
            </a:r>
          </a:p>
        </c:rich>
      </c:tx>
      <c:layout>
        <c:manualLayout>
          <c:xMode val="edge"/>
          <c:yMode val="edge"/>
          <c:x val="0.30245250229997489"/>
          <c:y val="1.6186769832895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1642858923541E-2"/>
          <c:y val="7.6170708063386328E-2"/>
          <c:w val="0.64722646809443329"/>
          <c:h val="0.892925180375019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CF-436D-84B1-61E6DB1CB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CF-436D-84B1-61E6DB1CB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CF-436D-84B1-61E6DB1CB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CF-436D-84B1-61E6DB1CB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CF-436D-84B1-61E6DB1CB2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CF-436D-84B1-61E6DB1CB2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CF-436D-84B1-61E6DB1CB2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5CF-436D-84B1-61E6DB1CB2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5CF-436D-84B1-61E6DB1CB2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5CF-436D-84B1-61E6DB1CB2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5CF-436D-84B1-61E6DB1CB2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5CF-436D-84B1-61E6DB1CB2D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5CF-436D-84B1-61E6DB1CB2D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5CF-436D-84B1-61E6DB1CB2D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5CF-436D-84B1-61E6DB1CB2D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45CF-436D-84B1-61E6DB1CB2D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45CF-436D-84B1-61E6DB1CB2D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45CF-436D-84B1-61E6DB1CB2D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45CF-436D-84B1-61E6DB1CB2D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45CF-436D-84B1-61E6DB1CB2D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45CF-436D-84B1-61E6DB1CB2D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45CF-436D-84B1-61E6DB1CB2D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45CF-436D-84B1-61E6DB1CB2D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45CF-436D-84B1-61E6DB1CB2D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45CF-436D-84B1-61E6DB1CB2D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45CF-436D-84B1-61E6DB1CB2DA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45CF-436D-84B1-61E6DB1CB2DA}"/>
              </c:ext>
            </c:extLst>
          </c:dPt>
          <c:dLbls>
            <c:dLbl>
              <c:idx val="0"/>
              <c:layout>
                <c:manualLayout>
                  <c:x val="0.14953554978556066"/>
                  <c:y val="-0.1979904238364942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F-436D-84B1-61E6DB1CB2DA}"/>
                </c:ext>
              </c:extLst>
            </c:dLbl>
            <c:dLbl>
              <c:idx val="1"/>
              <c:layout>
                <c:manualLayout>
                  <c:x val="-7.5593371814245774E-2"/>
                  <c:y val="-0.1094737116568708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F-436D-84B1-61E6DB1CB2DA}"/>
                </c:ext>
              </c:extLst>
            </c:dLbl>
            <c:dLbl>
              <c:idx val="2"/>
              <c:layout>
                <c:manualLayout>
                  <c:x val="2.3986407202363478E-2"/>
                  <c:y val="-7.502197213767594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F-436D-84B1-61E6DB1CB2DA}"/>
                </c:ext>
              </c:extLst>
            </c:dLbl>
            <c:dLbl>
              <c:idx val="3"/>
              <c:layout>
                <c:manualLayout>
                  <c:x val="5.0292035286880497E-2"/>
                  <c:y val="-4.32353479865127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F-436D-84B1-61E6DB1CB2DA}"/>
                </c:ext>
              </c:extLst>
            </c:dLbl>
            <c:dLbl>
              <c:idx val="4"/>
              <c:layout>
                <c:manualLayout>
                  <c:x val="8.9673539445513317E-2"/>
                  <c:y val="-1.45853975271646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F-436D-84B1-61E6DB1CB2DA}"/>
                </c:ext>
              </c:extLst>
            </c:dLbl>
            <c:dLbl>
              <c:idx val="5"/>
              <c:layout>
                <c:manualLayout>
                  <c:x val="9.5205338952440904E-2"/>
                  <c:y val="1.8051971260062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F-436D-84B1-61E6DB1CB2DA}"/>
                </c:ext>
              </c:extLst>
            </c:dLbl>
            <c:dLbl>
              <c:idx val="6"/>
              <c:layout>
                <c:manualLayout>
                  <c:x val="9.8117669032369598E-2"/>
                  <c:y val="4.81293157284892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CF-436D-84B1-61E6DB1CB2DA}"/>
                </c:ext>
              </c:extLst>
            </c:dLbl>
            <c:dLbl>
              <c:idx val="7"/>
              <c:layout>
                <c:manualLayout>
                  <c:x val="5.5337619157173126E-2"/>
                  <c:y val="8.680059601410795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CF-436D-84B1-61E6DB1CB2DA}"/>
                </c:ext>
              </c:extLst>
            </c:dLbl>
            <c:dLbl>
              <c:idx val="8"/>
              <c:layout>
                <c:manualLayout>
                  <c:x val="-1.456753762601406E-2"/>
                  <c:y val="0.119303619965327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CF-436D-84B1-61E6DB1CB2DA}"/>
                </c:ext>
              </c:extLst>
            </c:dLbl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5CF-436D-84B1-61E6DB1CB2DA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5CF-436D-84B1-61E6DB1CB2DA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5CF-436D-84B1-61E6DB1CB2DA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5CF-436D-84B1-61E6DB1CB2D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'Expenditures Graph Data'!$H$15:$H$23</c:f>
              <c:strCache>
                <c:ptCount val="9"/>
                <c:pt idx="0">
                  <c:v>Personal Services</c:v>
                </c:pt>
                <c:pt idx="1">
                  <c:v>ITD Reimbursements</c:v>
                </c:pt>
                <c:pt idx="2">
                  <c:v>Gov Transfer Other Agencies</c:v>
                </c:pt>
                <c:pt idx="3">
                  <c:v>Rentals</c:v>
                </c:pt>
                <c:pt idx="4">
                  <c:v>IT Equipment &amp; Software</c:v>
                </c:pt>
                <c:pt idx="5">
                  <c:v>Other Expenses &amp; Obligations</c:v>
                </c:pt>
                <c:pt idx="6">
                  <c:v>Communications</c:v>
                </c:pt>
                <c:pt idx="7">
                  <c:v>In State Travel</c:v>
                </c:pt>
                <c:pt idx="8">
                  <c:v>All Other</c:v>
                </c:pt>
              </c:strCache>
            </c:strRef>
          </c:cat>
          <c:val>
            <c:numRef>
              <c:f>'Expenditures Graph Data'!$I$15:$I$23</c:f>
              <c:numCache>
                <c:formatCode>"$"#,##0_);\("$"#,##0\)</c:formatCode>
                <c:ptCount val="9"/>
                <c:pt idx="0">
                  <c:v>1163400.76</c:v>
                </c:pt>
                <c:pt idx="1">
                  <c:v>198203.95</c:v>
                </c:pt>
                <c:pt idx="2">
                  <c:v>88085.079999999987</c:v>
                </c:pt>
                <c:pt idx="3">
                  <c:v>36750</c:v>
                </c:pt>
                <c:pt idx="4">
                  <c:v>21494.880000000001</c:v>
                </c:pt>
                <c:pt idx="5">
                  <c:v>19073.330000000002</c:v>
                </c:pt>
                <c:pt idx="6">
                  <c:v>9751.880000000001</c:v>
                </c:pt>
                <c:pt idx="7">
                  <c:v>6964.4900000000007</c:v>
                </c:pt>
                <c:pt idx="8">
                  <c:v>18724.859999999637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45CF-436D-84B1-61E6DB1CB2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19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03926018112111"/>
          <c:y val="5.4877878159249986E-2"/>
          <c:w val="0.20691176536794068"/>
          <c:h val="0.306660133320953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3" workbookViewId="0" zoomToFit="1"/>
  </sheetViews>
  <pageMargins left="0.7" right="0.7" top="0.75" bottom="0.75" header="0.3" footer="0.3"/>
  <pageSetup orientation="landscape" r:id="rId1"/>
  <headerFooter>
    <oddFooter>&amp;RPage 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7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93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180975</xdr:rowOff>
    </xdr:from>
    <xdr:ext cx="657224" cy="38633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5457825"/>
          <a:ext cx="657224" cy="38633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RED:</a:t>
          </a:r>
        </a:p>
      </xdr:txBody>
    </xdr:sp>
    <xdr:clientData/>
  </xdr:oneCellAnchor>
  <xdr:oneCellAnchor>
    <xdr:from>
      <xdr:col>0</xdr:col>
      <xdr:colOff>0</xdr:colOff>
      <xdr:row>25</xdr:row>
      <xdr:rowOff>180975</xdr:rowOff>
    </xdr:from>
    <xdr:ext cx="1095375" cy="326516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5943600"/>
          <a:ext cx="1095375" cy="32651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YELLOW:</a:t>
          </a:r>
        </a:p>
      </xdr:txBody>
    </xdr:sp>
    <xdr:clientData/>
  </xdr:oneCellAnchor>
  <xdr:oneCellAnchor>
    <xdr:from>
      <xdr:col>0</xdr:col>
      <xdr:colOff>0</xdr:colOff>
      <xdr:row>30</xdr:row>
      <xdr:rowOff>142875</xdr:rowOff>
    </xdr:from>
    <xdr:ext cx="952500" cy="374141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7467600"/>
          <a:ext cx="952500" cy="37414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00B05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GREEN: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815484" cy="784532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0815484" cy="784532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tel.billington1@iowa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3"/>
  <sheetViews>
    <sheetView zoomScale="90" zoomScaleNormal="90" zoomScaleSheetLayoutView="100" workbookViewId="0"/>
  </sheetViews>
  <sheetFormatPr defaultRowHeight="12.75" x14ac:dyDescent="0.2"/>
  <cols>
    <col min="1" max="1" width="15.5703125" customWidth="1"/>
    <col min="2" max="2" width="4.28515625" customWidth="1"/>
    <col min="3" max="3" width="23.42578125" customWidth="1"/>
    <col min="4" max="4" width="15.85546875" customWidth="1"/>
    <col min="5" max="5" width="4.42578125" customWidth="1"/>
    <col min="6" max="6" width="15.85546875" bestFit="1" customWidth="1"/>
    <col min="7" max="7" width="13.5703125" customWidth="1"/>
    <col min="10" max="10" width="11.28515625" customWidth="1"/>
    <col min="11" max="11" width="12.7109375" customWidth="1"/>
    <col min="16" max="16" width="29.28515625" customWidth="1"/>
  </cols>
  <sheetData>
    <row r="1" spans="1:16" ht="22.5" x14ac:dyDescent="0.2">
      <c r="A1" s="23"/>
      <c r="B1" s="24" t="s">
        <v>134</v>
      </c>
      <c r="C1" s="23"/>
      <c r="D1" s="23"/>
      <c r="E1" s="23"/>
      <c r="F1" s="23"/>
      <c r="G1" s="25"/>
      <c r="H1" s="23"/>
      <c r="I1" s="23"/>
      <c r="J1" s="25" t="s">
        <v>293</v>
      </c>
      <c r="K1" s="23"/>
      <c r="L1" s="23"/>
      <c r="M1" s="23"/>
      <c r="P1" s="12" t="s">
        <v>105</v>
      </c>
    </row>
    <row r="2" spans="1:16" ht="22.5" x14ac:dyDescent="0.2">
      <c r="A2" s="23"/>
      <c r="B2" s="24"/>
      <c r="C2" s="23"/>
      <c r="D2" s="23"/>
      <c r="E2" s="23"/>
      <c r="F2" s="23"/>
      <c r="G2" s="25"/>
      <c r="H2" s="23"/>
      <c r="I2" s="23"/>
      <c r="J2" s="25"/>
      <c r="K2" s="23"/>
      <c r="L2" s="23"/>
      <c r="M2" s="23"/>
      <c r="P2" s="12"/>
    </row>
    <row r="3" spans="1:16" x14ac:dyDescent="0.2">
      <c r="A3" s="26"/>
    </row>
    <row r="4" spans="1:16" ht="15.75" x14ac:dyDescent="0.2">
      <c r="A4" s="27" t="s">
        <v>86</v>
      </c>
      <c r="B4" s="27" t="s">
        <v>250</v>
      </c>
    </row>
    <row r="5" spans="1:16" ht="15.75" x14ac:dyDescent="0.2">
      <c r="A5" s="27" t="s">
        <v>87</v>
      </c>
      <c r="B5" s="27" t="s">
        <v>288</v>
      </c>
    </row>
    <row r="6" spans="1:16" ht="15.75" x14ac:dyDescent="0.2">
      <c r="A6" s="27"/>
      <c r="B6" s="27"/>
    </row>
    <row r="7" spans="1:16" ht="15.75" x14ac:dyDescent="0.2">
      <c r="A7" s="27" t="s">
        <v>88</v>
      </c>
      <c r="B7" s="372" t="s">
        <v>367</v>
      </c>
      <c r="C7" s="14"/>
    </row>
    <row r="8" spans="1:16" ht="15.75" x14ac:dyDescent="0.2">
      <c r="A8" s="27"/>
      <c r="B8" s="27"/>
    </row>
    <row r="9" spans="1:16" ht="15.75" x14ac:dyDescent="0.2">
      <c r="A9" s="27" t="s">
        <v>89</v>
      </c>
      <c r="B9" s="417">
        <v>45691</v>
      </c>
      <c r="C9" s="417"/>
    </row>
    <row r="10" spans="1:16" x14ac:dyDescent="0.2">
      <c r="A10" s="26"/>
    </row>
    <row r="11" spans="1:16" ht="18.75" x14ac:dyDescent="0.2">
      <c r="A11" s="27" t="s">
        <v>90</v>
      </c>
      <c r="B11" s="28" t="s">
        <v>326</v>
      </c>
      <c r="C11" s="29"/>
      <c r="D11" s="29"/>
      <c r="E11" s="29"/>
      <c r="F11" s="23"/>
      <c r="G11" s="23"/>
      <c r="H11" s="23"/>
      <c r="I11" s="23"/>
      <c r="J11" s="23"/>
      <c r="K11" s="23"/>
      <c r="L11" s="23"/>
      <c r="M11" s="23"/>
    </row>
    <row r="12" spans="1:16" ht="18.75" x14ac:dyDescent="0.2">
      <c r="A12" s="29"/>
      <c r="B12" s="28" t="s">
        <v>366</v>
      </c>
      <c r="C12" s="29"/>
      <c r="D12" s="29"/>
      <c r="E12" s="29"/>
      <c r="F12" s="23"/>
      <c r="G12" s="23"/>
      <c r="H12" s="23"/>
      <c r="I12" s="23"/>
      <c r="J12" s="23"/>
      <c r="K12" s="23"/>
      <c r="L12" s="23"/>
      <c r="M12" s="23"/>
    </row>
    <row r="13" spans="1:16" ht="15" x14ac:dyDescent="0.2">
      <c r="A13" s="30"/>
    </row>
    <row r="15" spans="1:16" ht="15.75" x14ac:dyDescent="0.2">
      <c r="A15" s="419"/>
      <c r="B15" s="419"/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</row>
    <row r="16" spans="1:16" ht="15" x14ac:dyDescent="0.2">
      <c r="A16" s="31"/>
    </row>
    <row r="17" spans="1:16" s="14" customFormat="1" ht="18" x14ac:dyDescent="0.2">
      <c r="A17" s="32" t="s">
        <v>124</v>
      </c>
      <c r="B17" s="32" t="s">
        <v>123</v>
      </c>
      <c r="C17" s="33"/>
      <c r="D17" s="33"/>
      <c r="E17" s="33"/>
      <c r="F17" s="33"/>
      <c r="G17" s="33"/>
      <c r="H17" s="33"/>
      <c r="I17" s="33"/>
      <c r="J17" s="33"/>
      <c r="K17" s="84"/>
      <c r="L17" s="33"/>
      <c r="M17" s="33"/>
    </row>
    <row r="18" spans="1:16" s="14" customFormat="1" ht="39" customHeight="1" x14ac:dyDescent="0.2">
      <c r="B18" s="34" t="s">
        <v>2</v>
      </c>
      <c r="C18" s="88"/>
      <c r="D18" s="116" t="s">
        <v>116</v>
      </c>
      <c r="E18" s="117"/>
      <c r="F18" s="116" t="s">
        <v>232</v>
      </c>
      <c r="G18" s="88"/>
      <c r="H18" s="88"/>
      <c r="I18" s="88"/>
      <c r="J18" s="44"/>
      <c r="K18" s="44"/>
      <c r="L18" s="44"/>
      <c r="M18" s="44"/>
      <c r="N18" s="13"/>
    </row>
    <row r="19" spans="1:16" s="14" customFormat="1" ht="15.75" x14ac:dyDescent="0.2">
      <c r="A19" s="43"/>
      <c r="B19" s="34" t="s">
        <v>219</v>
      </c>
      <c r="C19" s="88"/>
      <c r="D19" s="410">
        <f>'9397 BOEE'!O53</f>
        <v>1491299.7099999997</v>
      </c>
      <c r="F19" s="410">
        <f>-'9397 BOEE'!T9</f>
        <v>1500000</v>
      </c>
      <c r="G19" s="88"/>
      <c r="H19" s="88"/>
      <c r="I19" s="88"/>
      <c r="J19" s="44"/>
      <c r="K19" s="44"/>
      <c r="L19" s="44"/>
      <c r="M19" s="44"/>
      <c r="N19" s="13"/>
    </row>
    <row r="20" spans="1:16" ht="16.5" thickBot="1" x14ac:dyDescent="0.25">
      <c r="A20" s="43"/>
      <c r="B20" s="46"/>
      <c r="C20" s="88"/>
      <c r="D20" s="411">
        <f>SUM(D19:D19)</f>
        <v>1491299.7099999997</v>
      </c>
      <c r="E20" s="412"/>
      <c r="F20" s="411">
        <f>SUM(F19:F19)</f>
        <v>1500000</v>
      </c>
      <c r="G20" s="88"/>
      <c r="H20" s="88"/>
      <c r="I20" s="88"/>
      <c r="J20" s="44"/>
      <c r="K20" s="44"/>
      <c r="L20" s="44"/>
      <c r="M20" s="44"/>
      <c r="N20" s="13"/>
      <c r="O20" s="14"/>
    </row>
    <row r="21" spans="1:16" ht="15.75" thickTop="1" x14ac:dyDescent="0.2">
      <c r="A21" s="108"/>
      <c r="B21" s="34"/>
      <c r="C21" s="88"/>
      <c r="D21" s="88"/>
      <c r="E21" s="89"/>
      <c r="F21" s="88"/>
      <c r="G21" s="88"/>
      <c r="H21" s="88"/>
      <c r="I21" s="88"/>
      <c r="J21" s="44"/>
      <c r="K21" s="44"/>
      <c r="L21" s="44"/>
      <c r="M21" s="36"/>
      <c r="N21" s="12"/>
    </row>
    <row r="22" spans="1:16" ht="18.75" x14ac:dyDescent="0.2">
      <c r="A22" s="112" t="s">
        <v>119</v>
      </c>
      <c r="B22" s="34"/>
      <c r="C22" s="44"/>
      <c r="D22" s="33"/>
      <c r="E22" s="44"/>
      <c r="F22" s="44"/>
      <c r="G22" s="44"/>
      <c r="H22" s="44"/>
      <c r="I22" s="44"/>
      <c r="J22" s="44"/>
      <c r="K22" s="44"/>
      <c r="L22" s="44"/>
      <c r="M22" s="36"/>
      <c r="N22" s="12"/>
    </row>
    <row r="23" spans="1:16" s="14" customFormat="1" ht="18.75" x14ac:dyDescent="0.2">
      <c r="A23" s="109"/>
      <c r="B23" s="111"/>
      <c r="C23" s="115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s="14" customFormat="1" ht="19.5" thickBo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  <c r="O24" s="127"/>
    </row>
    <row r="25" spans="1:16" ht="15" x14ac:dyDescent="0.2">
      <c r="A25" s="108"/>
      <c r="B25" s="34"/>
      <c r="C25" s="4"/>
      <c r="D25" s="4"/>
      <c r="E25" s="44"/>
      <c r="F25" s="44"/>
      <c r="G25" s="44"/>
      <c r="H25" s="44"/>
      <c r="I25" s="44"/>
      <c r="J25" s="44"/>
      <c r="K25" s="44"/>
      <c r="L25" s="44"/>
      <c r="M25" s="36"/>
      <c r="N25" s="12"/>
    </row>
    <row r="26" spans="1:16" ht="18.75" x14ac:dyDescent="0.2">
      <c r="A26" s="113"/>
      <c r="B26" s="111"/>
      <c r="C26" s="115"/>
      <c r="D26" s="38"/>
      <c r="E26" s="38"/>
      <c r="F26" s="38"/>
      <c r="G26" s="38"/>
      <c r="H26" s="38"/>
      <c r="I26" s="38"/>
      <c r="J26" s="38"/>
      <c r="K26" s="38"/>
      <c r="L26" s="38"/>
      <c r="M26" s="118"/>
      <c r="P26" s="12"/>
    </row>
    <row r="27" spans="1:16" ht="18.75" x14ac:dyDescent="0.2">
      <c r="A27" s="113"/>
      <c r="B27" s="38"/>
      <c r="C27" s="115"/>
      <c r="D27" s="38"/>
      <c r="E27" s="38"/>
      <c r="F27" s="38"/>
      <c r="G27" s="38"/>
      <c r="H27" s="38"/>
      <c r="I27" s="38"/>
      <c r="J27" s="38"/>
      <c r="K27" s="38"/>
      <c r="L27" s="38"/>
      <c r="M27" s="118"/>
      <c r="P27" s="12"/>
    </row>
    <row r="28" spans="1:16" ht="18.75" x14ac:dyDescent="0.2">
      <c r="A28" s="113"/>
      <c r="B28" s="38"/>
      <c r="D28" s="38"/>
      <c r="E28" s="38"/>
      <c r="F28" s="38"/>
      <c r="G28" s="38"/>
      <c r="H28" s="38"/>
      <c r="I28" s="38"/>
      <c r="J28" s="38"/>
      <c r="K28" s="38"/>
      <c r="L28" s="38"/>
      <c r="M28" s="118"/>
      <c r="P28" s="12"/>
    </row>
    <row r="29" spans="1:16" ht="19.5" thickBot="1" x14ac:dyDescent="0.25">
      <c r="A29" s="120"/>
      <c r="B29" s="121"/>
      <c r="C29" s="122"/>
      <c r="D29" s="121"/>
      <c r="E29" s="121"/>
      <c r="F29" s="121"/>
      <c r="G29" s="121"/>
      <c r="H29" s="121"/>
      <c r="I29" s="121"/>
      <c r="J29" s="121"/>
      <c r="K29" s="121"/>
      <c r="L29" s="121"/>
      <c r="M29" s="123"/>
      <c r="N29" s="124"/>
      <c r="O29" s="124"/>
      <c r="P29" s="12"/>
    </row>
    <row r="30" spans="1:16" ht="18.75" x14ac:dyDescent="0.2">
      <c r="A30" s="113"/>
      <c r="B30" s="38"/>
      <c r="D30" s="38"/>
      <c r="E30" s="38"/>
      <c r="F30" s="38"/>
      <c r="G30" s="38"/>
      <c r="H30" s="38"/>
      <c r="I30" s="38"/>
      <c r="J30" s="38"/>
      <c r="K30" s="38"/>
      <c r="L30" s="38"/>
      <c r="M30" s="118"/>
      <c r="P30" s="12"/>
    </row>
    <row r="31" spans="1:16" ht="18" customHeight="1" x14ac:dyDescent="0.2">
      <c r="A31" s="110"/>
      <c r="B31" s="111"/>
      <c r="C31" s="37"/>
      <c r="D31" s="33"/>
      <c r="E31" s="33"/>
      <c r="F31" s="33"/>
      <c r="G31" s="33"/>
      <c r="H31" s="33"/>
      <c r="I31" s="33"/>
      <c r="J31" s="33"/>
      <c r="K31" s="33"/>
      <c r="L31" s="33"/>
      <c r="M31" s="39"/>
      <c r="P31" s="12"/>
    </row>
    <row r="32" spans="1:16" ht="15.75" customHeight="1" x14ac:dyDescent="0.2">
      <c r="B32" s="111"/>
      <c r="C32" s="34" t="s">
        <v>352</v>
      </c>
      <c r="D32" s="33"/>
      <c r="E32" s="33"/>
      <c r="F32" s="33"/>
      <c r="G32" s="33"/>
      <c r="H32" s="33"/>
      <c r="I32" s="33"/>
      <c r="J32" s="33"/>
      <c r="K32" s="33"/>
      <c r="L32" s="33"/>
      <c r="M32" s="39"/>
      <c r="P32" s="12"/>
    </row>
    <row r="33" spans="1:31" ht="18" customHeight="1" x14ac:dyDescent="0.2">
      <c r="B33" s="111"/>
      <c r="C33" s="34" t="s">
        <v>356</v>
      </c>
      <c r="D33" s="33"/>
      <c r="E33" s="33"/>
      <c r="F33" s="33"/>
      <c r="G33" s="33"/>
      <c r="H33" s="33"/>
      <c r="I33" s="33"/>
      <c r="J33" s="33"/>
      <c r="K33" s="33"/>
      <c r="L33" s="33"/>
      <c r="M33" s="39"/>
      <c r="P33" s="12"/>
    </row>
    <row r="34" spans="1:31" ht="18" customHeight="1" x14ac:dyDescent="0.2">
      <c r="A34" s="110"/>
      <c r="B34" s="114"/>
      <c r="C34" s="37"/>
      <c r="D34" s="33"/>
      <c r="E34" s="33"/>
      <c r="F34" s="33"/>
      <c r="G34" s="33"/>
      <c r="H34" s="33"/>
      <c r="I34" s="33"/>
      <c r="J34" s="33"/>
      <c r="K34" s="33"/>
      <c r="L34" s="33"/>
      <c r="M34" s="39"/>
      <c r="P34" s="12"/>
    </row>
    <row r="35" spans="1:31" s="14" customFormat="1" ht="15.75" customHeight="1" thickBot="1" x14ac:dyDescent="0.25">
      <c r="A35" s="120"/>
      <c r="B35" s="121"/>
      <c r="C35" s="122"/>
      <c r="D35" s="121"/>
      <c r="E35" s="121"/>
      <c r="F35" s="121"/>
      <c r="G35" s="121"/>
      <c r="H35" s="121"/>
      <c r="I35" s="121"/>
      <c r="J35" s="121"/>
      <c r="K35" s="121"/>
      <c r="L35" s="121"/>
      <c r="M35" s="123"/>
      <c r="N35" s="124"/>
      <c r="O35" s="124"/>
      <c r="Q35" s="74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</row>
    <row r="36" spans="1:31" ht="18.75" x14ac:dyDescent="0.2">
      <c r="A36" s="113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118"/>
    </row>
    <row r="37" spans="1:31" ht="18.75" x14ac:dyDescent="0.2">
      <c r="A37" s="418" t="s">
        <v>108</v>
      </c>
      <c r="B37" s="418"/>
      <c r="C37" s="418"/>
      <c r="D37" s="418"/>
      <c r="E37" s="418"/>
      <c r="F37" s="418"/>
      <c r="G37" s="418"/>
      <c r="H37" s="418"/>
      <c r="I37" s="418"/>
      <c r="J37" s="418"/>
      <c r="K37" s="418"/>
      <c r="L37" s="418"/>
      <c r="M37" s="418"/>
    </row>
    <row r="38" spans="1:31" ht="15.75" customHeight="1" x14ac:dyDescent="0.2">
      <c r="A38" s="128"/>
      <c r="B38" s="114"/>
      <c r="C38" s="115"/>
      <c r="D38" s="132"/>
      <c r="E38" s="132"/>
      <c r="F38" s="132"/>
      <c r="G38" s="132"/>
      <c r="H38" s="132"/>
      <c r="I38" s="132"/>
      <c r="J38" s="132"/>
      <c r="K38" s="132"/>
      <c r="L38" s="132"/>
      <c r="M38" s="132"/>
    </row>
    <row r="39" spans="1:31" s="12" customFormat="1" ht="15" customHeight="1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31" ht="18" customHeight="1" x14ac:dyDescent="0.2">
      <c r="A40" s="418" t="s">
        <v>91</v>
      </c>
      <c r="B40" s="418"/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8"/>
    </row>
    <row r="41" spans="1:31" s="12" customFormat="1" ht="15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31" ht="18" customHeight="1" x14ac:dyDescent="0.2">
      <c r="A42" s="418" t="s">
        <v>92</v>
      </c>
      <c r="B42" s="418"/>
      <c r="C42" s="418"/>
      <c r="D42" s="418"/>
      <c r="E42" s="418"/>
      <c r="F42" s="418"/>
      <c r="G42" s="418"/>
      <c r="H42" s="418"/>
      <c r="I42" s="418"/>
      <c r="J42" s="418"/>
      <c r="K42" s="418"/>
      <c r="L42" s="418"/>
      <c r="M42" s="418"/>
    </row>
    <row r="43" spans="1:31" s="40" customFormat="1" ht="15" customHeight="1" x14ac:dyDescent="0.2">
      <c r="A43" s="419" t="s">
        <v>104</v>
      </c>
      <c r="B43" s="419"/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</row>
    <row r="44" spans="1:31" s="40" customFormat="1" ht="15" customHeight="1" x14ac:dyDescent="0.2">
      <c r="A44" s="420" t="s">
        <v>353</v>
      </c>
      <c r="B44" s="420"/>
      <c r="C44" s="420"/>
      <c r="D44" s="420"/>
      <c r="E44" s="420"/>
      <c r="F44" s="420"/>
      <c r="G44" s="420"/>
      <c r="H44" s="420"/>
      <c r="I44" s="420"/>
      <c r="J44" s="420"/>
      <c r="K44" s="420"/>
      <c r="L44" s="420"/>
      <c r="M44" s="420"/>
    </row>
    <row r="45" spans="1:31" s="40" customFormat="1" ht="15" customHeight="1" x14ac:dyDescent="0.2">
      <c r="A45" s="128" t="s">
        <v>114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</row>
    <row r="46" spans="1:31" ht="15" x14ac:dyDescent="0.2">
      <c r="A46" s="421"/>
      <c r="B46" s="421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</row>
    <row r="47" spans="1:31" ht="18" customHeight="1" x14ac:dyDescent="0.2">
      <c r="A47" s="418" t="s">
        <v>93</v>
      </c>
      <c r="B47" s="418"/>
      <c r="C47" s="418"/>
      <c r="D47" s="418"/>
      <c r="E47" s="418"/>
      <c r="F47" s="418"/>
      <c r="G47" s="418"/>
      <c r="H47" s="418"/>
      <c r="I47" s="418"/>
      <c r="J47" s="418"/>
      <c r="K47" s="418"/>
      <c r="L47" s="418"/>
      <c r="M47" s="418"/>
    </row>
    <row r="48" spans="1:31" ht="15" x14ac:dyDescent="0.2">
      <c r="A48" s="14"/>
      <c r="B48" s="413" t="s">
        <v>354</v>
      </c>
      <c r="C48" s="14"/>
      <c r="D48" s="414" t="s">
        <v>355</v>
      </c>
    </row>
    <row r="49" spans="1:2" x14ac:dyDescent="0.2">
      <c r="A49" s="41"/>
    </row>
    <row r="50" spans="1:2" x14ac:dyDescent="0.2">
      <c r="A50" s="42"/>
    </row>
    <row r="51" spans="1:2" x14ac:dyDescent="0.2">
      <c r="A51" s="42"/>
    </row>
    <row r="52" spans="1:2" x14ac:dyDescent="0.2">
      <c r="A52" s="42"/>
    </row>
    <row r="53" spans="1:2" x14ac:dyDescent="0.2">
      <c r="A53" s="42"/>
    </row>
    <row r="54" spans="1:2" x14ac:dyDescent="0.2">
      <c r="A54" s="42"/>
    </row>
    <row r="55" spans="1:2" x14ac:dyDescent="0.2">
      <c r="A55" s="42"/>
    </row>
    <row r="56" spans="1:2" ht="18" x14ac:dyDescent="0.25">
      <c r="A56" s="42"/>
      <c r="B56" s="322"/>
    </row>
    <row r="57" spans="1:2" x14ac:dyDescent="0.2">
      <c r="A57" s="42"/>
    </row>
    <row r="58" spans="1:2" x14ac:dyDescent="0.2">
      <c r="A58" s="42"/>
    </row>
    <row r="59" spans="1:2" x14ac:dyDescent="0.2">
      <c r="A59" s="42"/>
    </row>
    <row r="60" spans="1:2" x14ac:dyDescent="0.2">
      <c r="A60" s="42"/>
    </row>
    <row r="61" spans="1:2" x14ac:dyDescent="0.2">
      <c r="A61" s="42"/>
    </row>
    <row r="62" spans="1:2" x14ac:dyDescent="0.2">
      <c r="A62" s="42"/>
    </row>
    <row r="63" spans="1:2" x14ac:dyDescent="0.2">
      <c r="A63" s="42"/>
    </row>
  </sheetData>
  <mergeCells count="9">
    <mergeCell ref="B9:C9"/>
    <mergeCell ref="A37:M37"/>
    <mergeCell ref="A15:M15"/>
    <mergeCell ref="A40:M40"/>
    <mergeCell ref="A47:M47"/>
    <mergeCell ref="A42:M42"/>
    <mergeCell ref="A43:M43"/>
    <mergeCell ref="A44:M44"/>
    <mergeCell ref="A46:M46"/>
  </mergeCells>
  <hyperlinks>
    <hyperlink ref="B48" r:id="rId1" xr:uid="{00000000-0004-0000-0000-000000000000}"/>
  </hyperlinks>
  <pageMargins left="0.5" right="0.25" top="0.25" bottom="0.25" header="0.3" footer="0.3"/>
  <pageSetup paperSize="5" scale="62" fitToHeight="2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S25" sqref="S25"/>
    </sheetView>
  </sheetViews>
  <sheetFormatPr defaultColWidth="9.140625" defaultRowHeight="15" x14ac:dyDescent="0.25"/>
  <cols>
    <col min="1" max="1" width="29.7109375" style="241" bestFit="1" customWidth="1"/>
    <col min="2" max="2" width="40.85546875" style="241" bestFit="1" customWidth="1"/>
    <col min="3" max="4" width="9.140625" style="241"/>
    <col min="5" max="5" width="9.85546875" style="241" bestFit="1" customWidth="1"/>
    <col min="6" max="19" width="9.140625" style="241"/>
    <col min="20" max="20" width="9.85546875" style="241" bestFit="1" customWidth="1"/>
    <col min="21" max="16384" width="9.140625" style="241"/>
  </cols>
  <sheetData>
    <row r="1" spans="1:22" x14ac:dyDescent="0.25">
      <c r="D1" s="242" t="s">
        <v>168</v>
      </c>
      <c r="F1" s="243">
        <v>1.4</v>
      </c>
      <c r="G1" s="243">
        <v>2</v>
      </c>
      <c r="H1" s="243">
        <v>2</v>
      </c>
      <c r="I1" s="243">
        <v>3</v>
      </c>
      <c r="J1" s="243">
        <v>2</v>
      </c>
      <c r="K1" s="243">
        <v>2</v>
      </c>
      <c r="L1" s="243">
        <v>2</v>
      </c>
      <c r="M1" s="243">
        <v>2</v>
      </c>
      <c r="N1" s="243">
        <v>2</v>
      </c>
      <c r="O1" s="243">
        <v>3</v>
      </c>
      <c r="P1" s="243">
        <v>2</v>
      </c>
      <c r="Q1" s="243">
        <v>2</v>
      </c>
      <c r="R1" s="243">
        <v>0.6</v>
      </c>
      <c r="S1" s="243">
        <v>0</v>
      </c>
      <c r="T1" s="243">
        <f>SUM(F1:S1)</f>
        <v>26</v>
      </c>
    </row>
    <row r="2" spans="1:22" x14ac:dyDescent="0.25">
      <c r="D2" s="244" t="s">
        <v>169</v>
      </c>
      <c r="E2" s="245"/>
      <c r="F2" s="246">
        <f t="shared" ref="F2:S2" si="0">F1</f>
        <v>1.4</v>
      </c>
      <c r="G2" s="246">
        <f t="shared" si="0"/>
        <v>2</v>
      </c>
      <c r="H2" s="246">
        <f t="shared" si="0"/>
        <v>2</v>
      </c>
      <c r="I2" s="246">
        <f t="shared" si="0"/>
        <v>3</v>
      </c>
      <c r="J2" s="246">
        <f t="shared" si="0"/>
        <v>2</v>
      </c>
      <c r="K2" s="246">
        <f t="shared" si="0"/>
        <v>2</v>
      </c>
      <c r="L2" s="246">
        <f t="shared" si="0"/>
        <v>2</v>
      </c>
      <c r="M2" s="246">
        <f t="shared" si="0"/>
        <v>2</v>
      </c>
      <c r="N2" s="246">
        <f t="shared" si="0"/>
        <v>2</v>
      </c>
      <c r="O2" s="246">
        <f t="shared" si="0"/>
        <v>3</v>
      </c>
      <c r="P2" s="246">
        <f t="shared" si="0"/>
        <v>2</v>
      </c>
      <c r="Q2" s="246">
        <f t="shared" si="0"/>
        <v>2</v>
      </c>
      <c r="R2" s="246">
        <f t="shared" si="0"/>
        <v>0.6</v>
      </c>
      <c r="S2" s="246">
        <f t="shared" si="0"/>
        <v>0</v>
      </c>
      <c r="T2" s="246">
        <f>SUM(F2:S2)</f>
        <v>26</v>
      </c>
    </row>
    <row r="4" spans="1:22" ht="15.75" thickBot="1" x14ac:dyDescent="0.3">
      <c r="A4" s="247" t="s">
        <v>170</v>
      </c>
      <c r="B4" s="247" t="s">
        <v>171</v>
      </c>
      <c r="C4" s="248" t="s">
        <v>2</v>
      </c>
      <c r="D4" s="249" t="s">
        <v>172</v>
      </c>
      <c r="E4" s="247" t="s">
        <v>173</v>
      </c>
      <c r="F4" s="250" t="s">
        <v>174</v>
      </c>
      <c r="G4" s="250" t="s">
        <v>175</v>
      </c>
      <c r="H4" s="250" t="s">
        <v>176</v>
      </c>
      <c r="I4" s="250" t="s">
        <v>177</v>
      </c>
      <c r="J4" s="250" t="s">
        <v>178</v>
      </c>
      <c r="K4" s="250" t="s">
        <v>179</v>
      </c>
      <c r="L4" s="250" t="s">
        <v>180</v>
      </c>
      <c r="M4" s="250" t="s">
        <v>181</v>
      </c>
      <c r="N4" s="250" t="s">
        <v>182</v>
      </c>
      <c r="O4" s="250" t="s">
        <v>183</v>
      </c>
      <c r="P4" s="250" t="s">
        <v>184</v>
      </c>
      <c r="Q4" s="250" t="s">
        <v>185</v>
      </c>
      <c r="R4" s="250" t="s">
        <v>25</v>
      </c>
      <c r="S4" s="250" t="s">
        <v>26</v>
      </c>
      <c r="T4" s="250" t="s">
        <v>186</v>
      </c>
    </row>
    <row r="5" spans="1:22" ht="15.75" x14ac:dyDescent="0.25">
      <c r="A5" s="251" t="s">
        <v>129</v>
      </c>
      <c r="B5" s="252" t="s">
        <v>246</v>
      </c>
      <c r="C5" s="262">
        <v>9397</v>
      </c>
      <c r="D5" s="263">
        <v>1</v>
      </c>
      <c r="E5" s="264">
        <v>80163</v>
      </c>
      <c r="F5" s="256">
        <f t="shared" ref="F5:F10" si="1">IF(F$2=0,0,($E5*$E$23/$T$1*F$2))</f>
        <v>3828.2639672814448</v>
      </c>
      <c r="G5" s="256">
        <f t="shared" ref="G5:R10" si="2">IF(G$2=0,0,($E5*$E$24/12)+($E5*$E$23/$T$1*G$2))</f>
        <v>6224.504289609351</v>
      </c>
      <c r="H5" s="256">
        <f t="shared" si="2"/>
        <v>6224.504289609351</v>
      </c>
      <c r="I5" s="256">
        <f t="shared" si="2"/>
        <v>8958.9785519532415</v>
      </c>
      <c r="J5" s="256">
        <f t="shared" si="2"/>
        <v>6224.504289609351</v>
      </c>
      <c r="K5" s="256">
        <f t="shared" si="2"/>
        <v>6224.504289609351</v>
      </c>
      <c r="L5" s="256">
        <f t="shared" si="2"/>
        <v>6224.504289609351</v>
      </c>
      <c r="M5" s="256">
        <f t="shared" si="2"/>
        <v>6224.504289609351</v>
      </c>
      <c r="N5" s="256">
        <f t="shared" si="2"/>
        <v>6224.504289609351</v>
      </c>
      <c r="O5" s="256">
        <f t="shared" si="2"/>
        <v>8958.9785519532415</v>
      </c>
      <c r="P5" s="256">
        <f t="shared" si="2"/>
        <v>6224.504289609351</v>
      </c>
      <c r="Q5" s="256">
        <f t="shared" si="2"/>
        <v>6224.504289609351</v>
      </c>
      <c r="R5" s="256">
        <f t="shared" si="2"/>
        <v>2396.2403223279061</v>
      </c>
      <c r="S5" s="253">
        <f t="shared" ref="S5:S19" si="3">IF(S$2=0,0,$E5/$T$1*S$2)</f>
        <v>0</v>
      </c>
      <c r="T5" s="253">
        <f t="shared" ref="T5:T20" si="4">SUM(F5:S5)</f>
        <v>80163</v>
      </c>
      <c r="V5" s="261"/>
    </row>
    <row r="6" spans="1:22" ht="15.75" x14ac:dyDescent="0.25">
      <c r="A6" s="254" t="s">
        <v>129</v>
      </c>
      <c r="B6" s="255" t="s">
        <v>153</v>
      </c>
      <c r="C6" s="262">
        <v>9397</v>
      </c>
      <c r="D6" s="263">
        <v>1</v>
      </c>
      <c r="E6" s="259">
        <v>82787</v>
      </c>
      <c r="F6" s="256">
        <f t="shared" si="1"/>
        <v>3953.5757027472646</v>
      </c>
      <c r="G6" s="256">
        <f t="shared" si="2"/>
        <v>6428.2528925300867</v>
      </c>
      <c r="H6" s="256">
        <f t="shared" si="2"/>
        <v>6428.2528925300867</v>
      </c>
      <c r="I6" s="256">
        <f t="shared" si="2"/>
        <v>9252.2355373495629</v>
      </c>
      <c r="J6" s="256">
        <f t="shared" si="2"/>
        <v>6428.2528925300867</v>
      </c>
      <c r="K6" s="256">
        <f t="shared" si="2"/>
        <v>6428.2528925300867</v>
      </c>
      <c r="L6" s="256">
        <f t="shared" si="2"/>
        <v>6428.2528925300867</v>
      </c>
      <c r="M6" s="256">
        <f t="shared" si="2"/>
        <v>6428.2528925300867</v>
      </c>
      <c r="N6" s="256">
        <f t="shared" si="2"/>
        <v>6428.2528925300867</v>
      </c>
      <c r="O6" s="256">
        <f t="shared" si="2"/>
        <v>9252.2355373495629</v>
      </c>
      <c r="P6" s="256">
        <f t="shared" si="2"/>
        <v>6428.2528925300867</v>
      </c>
      <c r="Q6" s="256">
        <f t="shared" si="2"/>
        <v>6428.2528925300867</v>
      </c>
      <c r="R6" s="256">
        <f t="shared" si="2"/>
        <v>2474.6771897828221</v>
      </c>
      <c r="S6" s="253">
        <f t="shared" si="3"/>
        <v>0</v>
      </c>
      <c r="T6" s="256">
        <f t="shared" si="4"/>
        <v>82787</v>
      </c>
      <c r="V6" s="261"/>
    </row>
    <row r="7" spans="1:22" ht="15.75" x14ac:dyDescent="0.25">
      <c r="A7" s="254" t="s">
        <v>129</v>
      </c>
      <c r="B7" s="255" t="s">
        <v>154</v>
      </c>
      <c r="C7" s="262">
        <v>9397</v>
      </c>
      <c r="D7" s="263">
        <v>1</v>
      </c>
      <c r="E7" s="259">
        <v>83873</v>
      </c>
      <c r="F7" s="256">
        <f t="shared" si="1"/>
        <v>4005.4387152152067</v>
      </c>
      <c r="G7" s="256">
        <f t="shared" si="2"/>
        <v>6512.5787243791419</v>
      </c>
      <c r="H7" s="256">
        <f t="shared" si="2"/>
        <v>6512.5787243791419</v>
      </c>
      <c r="I7" s="256">
        <f t="shared" si="2"/>
        <v>9373.6063781042885</v>
      </c>
      <c r="J7" s="256">
        <f t="shared" si="2"/>
        <v>6512.5787243791419</v>
      </c>
      <c r="K7" s="256">
        <f t="shared" si="2"/>
        <v>6512.5787243791419</v>
      </c>
      <c r="L7" s="256">
        <f t="shared" si="2"/>
        <v>6512.5787243791419</v>
      </c>
      <c r="M7" s="256">
        <f t="shared" si="2"/>
        <v>6512.5787243791419</v>
      </c>
      <c r="N7" s="256">
        <f t="shared" si="2"/>
        <v>6512.5787243791419</v>
      </c>
      <c r="O7" s="256">
        <f t="shared" si="2"/>
        <v>9373.6063781042885</v>
      </c>
      <c r="P7" s="256">
        <f t="shared" si="2"/>
        <v>6512.5787243791419</v>
      </c>
      <c r="Q7" s="256">
        <f t="shared" si="2"/>
        <v>6512.5787243791419</v>
      </c>
      <c r="R7" s="256">
        <f t="shared" si="2"/>
        <v>2507.1400091639343</v>
      </c>
      <c r="S7" s="253">
        <f t="shared" si="3"/>
        <v>0</v>
      </c>
      <c r="T7" s="256">
        <f t="shared" si="4"/>
        <v>83873</v>
      </c>
      <c r="V7" s="261"/>
    </row>
    <row r="8" spans="1:22" ht="15.75" x14ac:dyDescent="0.25">
      <c r="A8" s="254" t="s">
        <v>129</v>
      </c>
      <c r="B8" s="255" t="s">
        <v>287</v>
      </c>
      <c r="C8" s="262">
        <v>9397</v>
      </c>
      <c r="D8" s="263">
        <v>1</v>
      </c>
      <c r="E8" s="259">
        <v>66775</v>
      </c>
      <c r="F8" s="256">
        <f t="shared" si="1"/>
        <v>3188.906682823977</v>
      </c>
      <c r="G8" s="256">
        <f t="shared" si="2"/>
        <v>5184.9515853780977</v>
      </c>
      <c r="H8" s="256">
        <f t="shared" si="2"/>
        <v>5184.9515853780977</v>
      </c>
      <c r="I8" s="256">
        <f t="shared" si="2"/>
        <v>7462.7420731095099</v>
      </c>
      <c r="J8" s="256">
        <f t="shared" si="2"/>
        <v>5184.9515853780977</v>
      </c>
      <c r="K8" s="256">
        <f t="shared" si="2"/>
        <v>5184.9515853780977</v>
      </c>
      <c r="L8" s="256">
        <f t="shared" si="2"/>
        <v>5184.9515853780977</v>
      </c>
      <c r="M8" s="256">
        <f t="shared" si="2"/>
        <v>5184.9515853780977</v>
      </c>
      <c r="N8" s="256">
        <f t="shared" si="2"/>
        <v>5184.9515853780977</v>
      </c>
      <c r="O8" s="256">
        <f t="shared" si="2"/>
        <v>7462.7420731095099</v>
      </c>
      <c r="P8" s="256">
        <f t="shared" si="2"/>
        <v>5184.9515853780977</v>
      </c>
      <c r="Q8" s="256">
        <f t="shared" si="2"/>
        <v>5184.9515853780977</v>
      </c>
      <c r="R8" s="256">
        <f t="shared" si="2"/>
        <v>1996.04490255412</v>
      </c>
      <c r="S8" s="253">
        <f t="shared" si="3"/>
        <v>0</v>
      </c>
      <c r="T8" s="256">
        <f t="shared" ref="T8" si="5">SUM(F8:S8)</f>
        <v>66775</v>
      </c>
      <c r="V8" s="261"/>
    </row>
    <row r="9" spans="1:22" ht="15.75" x14ac:dyDescent="0.25">
      <c r="A9" s="257" t="s">
        <v>156</v>
      </c>
      <c r="B9" s="258" t="s">
        <v>155</v>
      </c>
      <c r="C9" s="262">
        <v>9397</v>
      </c>
      <c r="D9" s="263">
        <v>1</v>
      </c>
      <c r="E9" s="259">
        <v>140640</v>
      </c>
      <c r="F9" s="256">
        <f t="shared" si="1"/>
        <v>6716.4033825887554</v>
      </c>
      <c r="G9" s="256">
        <f t="shared" si="2"/>
        <v>10920.428168739432</v>
      </c>
      <c r="H9" s="256">
        <f t="shared" si="2"/>
        <v>10920.428168739432</v>
      </c>
      <c r="I9" s="256">
        <f t="shared" si="2"/>
        <v>15717.859156302831</v>
      </c>
      <c r="J9" s="256">
        <f t="shared" si="2"/>
        <v>10920.428168739432</v>
      </c>
      <c r="K9" s="256">
        <f t="shared" si="2"/>
        <v>10920.428168739432</v>
      </c>
      <c r="L9" s="256">
        <f t="shared" si="2"/>
        <v>10920.428168739432</v>
      </c>
      <c r="M9" s="256">
        <f t="shared" si="2"/>
        <v>10920.428168739432</v>
      </c>
      <c r="N9" s="256">
        <f t="shared" si="2"/>
        <v>10920.428168739432</v>
      </c>
      <c r="O9" s="256">
        <f t="shared" si="2"/>
        <v>15717.859156302831</v>
      </c>
      <c r="P9" s="256">
        <f t="shared" si="2"/>
        <v>10920.428168739432</v>
      </c>
      <c r="Q9" s="256">
        <f t="shared" si="2"/>
        <v>10920.428168739432</v>
      </c>
      <c r="R9" s="256">
        <f t="shared" si="2"/>
        <v>4204.0247861506778</v>
      </c>
      <c r="S9" s="253">
        <f t="shared" si="3"/>
        <v>0</v>
      </c>
      <c r="T9" s="256">
        <f t="shared" si="4"/>
        <v>140639.99999999997</v>
      </c>
      <c r="V9" s="261"/>
    </row>
    <row r="10" spans="1:22" ht="15.75" x14ac:dyDescent="0.25">
      <c r="A10" s="257" t="s">
        <v>236</v>
      </c>
      <c r="B10" s="258" t="s">
        <v>242</v>
      </c>
      <c r="C10" s="262">
        <v>9397</v>
      </c>
      <c r="D10" s="263">
        <v>1</v>
      </c>
      <c r="E10" s="259">
        <v>108455</v>
      </c>
      <c r="F10" s="256">
        <f t="shared" si="1"/>
        <v>5179.3766272658095</v>
      </c>
      <c r="G10" s="256">
        <f t="shared" si="2"/>
        <v>8421.3242110397841</v>
      </c>
      <c r="H10" s="256">
        <f t="shared" si="2"/>
        <v>8421.3242110397841</v>
      </c>
      <c r="I10" s="256">
        <f t="shared" si="2"/>
        <v>12120.878944801076</v>
      </c>
      <c r="J10" s="256">
        <f t="shared" si="2"/>
        <v>8421.3242110397841</v>
      </c>
      <c r="K10" s="256">
        <f t="shared" si="2"/>
        <v>8421.3242110397841</v>
      </c>
      <c r="L10" s="256">
        <f t="shared" si="2"/>
        <v>8421.3242110397841</v>
      </c>
      <c r="M10" s="256">
        <f t="shared" si="2"/>
        <v>8421.3242110397841</v>
      </c>
      <c r="N10" s="256">
        <f t="shared" si="2"/>
        <v>8421.3242110397841</v>
      </c>
      <c r="O10" s="256">
        <f t="shared" si="2"/>
        <v>12120.878944801076</v>
      </c>
      <c r="P10" s="256">
        <f t="shared" si="2"/>
        <v>8421.3242110397841</v>
      </c>
      <c r="Q10" s="256">
        <f t="shared" si="2"/>
        <v>8421.3242110397841</v>
      </c>
      <c r="R10" s="256">
        <f t="shared" si="2"/>
        <v>3241.9475837739737</v>
      </c>
      <c r="S10" s="253">
        <f t="shared" si="3"/>
        <v>0</v>
      </c>
      <c r="T10" s="256">
        <f t="shared" si="4"/>
        <v>108455</v>
      </c>
      <c r="V10" s="261"/>
    </row>
    <row r="11" spans="1:22" ht="15.75" x14ac:dyDescent="0.25">
      <c r="A11" s="257" t="s">
        <v>300</v>
      </c>
      <c r="B11" s="258" t="s">
        <v>322</v>
      </c>
      <c r="C11" s="262">
        <v>9397</v>
      </c>
      <c r="D11" s="263">
        <v>1</v>
      </c>
      <c r="E11" s="259">
        <v>100000</v>
      </c>
      <c r="F11" s="365">
        <v>0</v>
      </c>
      <c r="G11" s="365">
        <v>0</v>
      </c>
      <c r="H11" s="365">
        <v>0</v>
      </c>
      <c r="I11" s="365">
        <v>0</v>
      </c>
      <c r="J11" s="365">
        <v>0</v>
      </c>
      <c r="K11" s="365">
        <v>0</v>
      </c>
      <c r="L11" s="365">
        <v>0</v>
      </c>
      <c r="M11" s="256">
        <f t="shared" ref="J11:R19" si="6">IF(M$2=0,0,($E11*$E$24/12)+($E11*$E$23/$T$1*M$2))</f>
        <v>7764.8095625280375</v>
      </c>
      <c r="N11" s="256">
        <f t="shared" si="6"/>
        <v>7764.8095625280375</v>
      </c>
      <c r="O11" s="256">
        <f t="shared" si="6"/>
        <v>11175.952187359806</v>
      </c>
      <c r="P11" s="256">
        <f t="shared" si="6"/>
        <v>7764.8095625280375</v>
      </c>
      <c r="Q11" s="256">
        <f t="shared" si="6"/>
        <v>7764.8095625280375</v>
      </c>
      <c r="R11" s="256">
        <f t="shared" si="6"/>
        <v>2989.2098877635644</v>
      </c>
      <c r="S11" s="253">
        <f t="shared" si="3"/>
        <v>0</v>
      </c>
      <c r="T11" s="256">
        <f t="shared" si="4"/>
        <v>45224.400325235525</v>
      </c>
      <c r="V11" s="261"/>
    </row>
    <row r="12" spans="1:22" ht="15.75" x14ac:dyDescent="0.25">
      <c r="A12" s="254" t="s">
        <v>157</v>
      </c>
      <c r="B12" s="255" t="s">
        <v>310</v>
      </c>
      <c r="C12" s="262">
        <v>9397</v>
      </c>
      <c r="D12" s="263">
        <v>1</v>
      </c>
      <c r="E12" s="259">
        <v>138593</v>
      </c>
      <c r="F12" s="256">
        <f t="shared" ref="F12:F19" si="7">IF(F$2=0,0,($E12*$E$23/$T$1*F$2))</f>
        <v>6618.6468572463264</v>
      </c>
      <c r="G12" s="256">
        <f t="shared" ref="G12:J19" si="8">IF(G$2=0,0,($E12*$E$24/12)+($E12*$E$23/$T$1*G$2))</f>
        <v>10761.482516994483</v>
      </c>
      <c r="H12" s="256">
        <f t="shared" si="8"/>
        <v>10761.482516994483</v>
      </c>
      <c r="I12" s="256">
        <f t="shared" si="8"/>
        <v>15489.087415027574</v>
      </c>
      <c r="J12" s="256">
        <f t="shared" si="8"/>
        <v>10761.482516994483</v>
      </c>
      <c r="K12" s="256">
        <f t="shared" si="6"/>
        <v>10761.482516994483</v>
      </c>
      <c r="L12" s="256">
        <f t="shared" si="6"/>
        <v>10761.482516994483</v>
      </c>
      <c r="M12" s="256">
        <f t="shared" si="6"/>
        <v>10761.482516994483</v>
      </c>
      <c r="N12" s="256">
        <f t="shared" si="6"/>
        <v>10761.482516994483</v>
      </c>
      <c r="O12" s="256">
        <f t="shared" si="6"/>
        <v>15489.087415027574</v>
      </c>
      <c r="P12" s="256">
        <f t="shared" si="6"/>
        <v>10761.482516994483</v>
      </c>
      <c r="Q12" s="256">
        <f t="shared" si="6"/>
        <v>10761.482516994483</v>
      </c>
      <c r="R12" s="256">
        <f t="shared" si="6"/>
        <v>4142.835659748157</v>
      </c>
      <c r="S12" s="253">
        <f t="shared" si="3"/>
        <v>0</v>
      </c>
      <c r="T12" s="256">
        <f t="shared" si="4"/>
        <v>138592.99999999997</v>
      </c>
      <c r="V12" s="261"/>
    </row>
    <row r="13" spans="1:22" ht="15.75" x14ac:dyDescent="0.25">
      <c r="A13" s="257" t="s">
        <v>157</v>
      </c>
      <c r="B13" s="258" t="s">
        <v>324</v>
      </c>
      <c r="C13" s="262">
        <v>9397</v>
      </c>
      <c r="D13" s="263">
        <v>1</v>
      </c>
      <c r="E13" s="259">
        <v>126230</v>
      </c>
      <c r="F13" s="256">
        <f t="shared" si="7"/>
        <v>6028.2394694551949</v>
      </c>
      <c r="G13" s="256">
        <f t="shared" si="8"/>
        <v>9801.5191107791434</v>
      </c>
      <c r="H13" s="256">
        <f t="shared" si="8"/>
        <v>9801.5191107791434</v>
      </c>
      <c r="I13" s="256">
        <f t="shared" si="8"/>
        <v>14107.404446104283</v>
      </c>
      <c r="J13" s="256">
        <f t="shared" si="6"/>
        <v>9801.5191107791434</v>
      </c>
      <c r="K13" s="256">
        <f t="shared" si="6"/>
        <v>9801.5191107791434</v>
      </c>
      <c r="L13" s="256">
        <f t="shared" si="6"/>
        <v>9801.5191107791434</v>
      </c>
      <c r="M13" s="256">
        <f t="shared" si="6"/>
        <v>9801.5191107791434</v>
      </c>
      <c r="N13" s="256">
        <f t="shared" si="6"/>
        <v>9801.5191107791434</v>
      </c>
      <c r="O13" s="256">
        <f t="shared" si="6"/>
        <v>14107.404446104283</v>
      </c>
      <c r="P13" s="256">
        <f t="shared" si="6"/>
        <v>9801.5191107791434</v>
      </c>
      <c r="Q13" s="365">
        <v>0</v>
      </c>
      <c r="R13" s="365">
        <v>0</v>
      </c>
      <c r="S13" s="253">
        <f t="shared" si="3"/>
        <v>0</v>
      </c>
      <c r="T13" s="256">
        <f t="shared" si="4"/>
        <v>112655.20124789693</v>
      </c>
      <c r="V13" s="261"/>
    </row>
    <row r="14" spans="1:22" ht="15.75" x14ac:dyDescent="0.25">
      <c r="A14" s="257" t="s">
        <v>157</v>
      </c>
      <c r="B14" s="258" t="s">
        <v>278</v>
      </c>
      <c r="C14" s="262">
        <v>9397</v>
      </c>
      <c r="D14" s="263">
        <v>1</v>
      </c>
      <c r="E14" s="259">
        <v>138351</v>
      </c>
      <c r="F14" s="256">
        <f t="shared" si="7"/>
        <v>6607.0899060333959</v>
      </c>
      <c r="G14" s="256">
        <f t="shared" si="8"/>
        <v>10742.691677853165</v>
      </c>
      <c r="H14" s="256">
        <f t="shared" si="8"/>
        <v>10742.691677853165</v>
      </c>
      <c r="I14" s="256">
        <f t="shared" si="8"/>
        <v>15462.041610734163</v>
      </c>
      <c r="J14" s="256">
        <f t="shared" si="6"/>
        <v>10742.691677853165</v>
      </c>
      <c r="K14" s="256">
        <f t="shared" si="6"/>
        <v>10742.691677853165</v>
      </c>
      <c r="L14" s="256">
        <f t="shared" si="6"/>
        <v>10742.691677853165</v>
      </c>
      <c r="M14" s="256">
        <f t="shared" si="6"/>
        <v>10742.691677853165</v>
      </c>
      <c r="N14" s="256">
        <f t="shared" si="6"/>
        <v>10742.691677853165</v>
      </c>
      <c r="O14" s="256">
        <f t="shared" si="6"/>
        <v>15462.041610734163</v>
      </c>
      <c r="P14" s="256">
        <f t="shared" si="6"/>
        <v>10742.691677853165</v>
      </c>
      <c r="Q14" s="256">
        <f t="shared" si="6"/>
        <v>10742.691677853165</v>
      </c>
      <c r="R14" s="256">
        <f t="shared" si="6"/>
        <v>4135.6017718197691</v>
      </c>
      <c r="S14" s="253">
        <f t="shared" si="3"/>
        <v>0</v>
      </c>
      <c r="T14" s="256">
        <f t="shared" si="4"/>
        <v>138350.99999999994</v>
      </c>
      <c r="V14" s="261"/>
    </row>
    <row r="15" spans="1:22" ht="15.75" x14ac:dyDescent="0.25">
      <c r="A15" s="254" t="s">
        <v>157</v>
      </c>
      <c r="B15" s="255" t="s">
        <v>159</v>
      </c>
      <c r="C15" s="262">
        <v>9397</v>
      </c>
      <c r="D15" s="263">
        <v>1</v>
      </c>
      <c r="E15" s="259">
        <v>138223</v>
      </c>
      <c r="F15" s="256">
        <f t="shared" si="7"/>
        <v>6600.977138449698</v>
      </c>
      <c r="G15" s="256">
        <f t="shared" si="8"/>
        <v>10732.752721613129</v>
      </c>
      <c r="H15" s="256">
        <f t="shared" si="8"/>
        <v>10732.752721613129</v>
      </c>
      <c r="I15" s="256">
        <f t="shared" si="8"/>
        <v>15447.736391934342</v>
      </c>
      <c r="J15" s="256">
        <f t="shared" si="6"/>
        <v>10732.752721613129</v>
      </c>
      <c r="K15" s="256">
        <f t="shared" si="6"/>
        <v>10732.752721613129</v>
      </c>
      <c r="L15" s="256">
        <f t="shared" si="6"/>
        <v>10732.752721613129</v>
      </c>
      <c r="M15" s="256">
        <f t="shared" si="6"/>
        <v>10732.752721613129</v>
      </c>
      <c r="N15" s="256">
        <f t="shared" si="6"/>
        <v>10732.752721613129</v>
      </c>
      <c r="O15" s="256">
        <f t="shared" si="6"/>
        <v>15447.736391934342</v>
      </c>
      <c r="P15" s="256">
        <f t="shared" si="6"/>
        <v>10732.752721613129</v>
      </c>
      <c r="Q15" s="256">
        <f t="shared" si="6"/>
        <v>10732.752721613129</v>
      </c>
      <c r="R15" s="256">
        <f t="shared" si="6"/>
        <v>4131.7755831634313</v>
      </c>
      <c r="S15" s="253">
        <f t="shared" si="3"/>
        <v>0</v>
      </c>
      <c r="T15" s="256">
        <f t="shared" si="4"/>
        <v>138222.99999999997</v>
      </c>
      <c r="V15" s="261"/>
    </row>
    <row r="16" spans="1:22" ht="15.75" x14ac:dyDescent="0.25">
      <c r="A16" s="265" t="s">
        <v>160</v>
      </c>
      <c r="B16" s="255" t="s">
        <v>158</v>
      </c>
      <c r="C16" s="262">
        <v>9397</v>
      </c>
      <c r="D16" s="263">
        <v>1</v>
      </c>
      <c r="E16" s="259">
        <v>162070</v>
      </c>
      <c r="F16" s="256">
        <f t="shared" si="7"/>
        <v>7739.8143928907821</v>
      </c>
      <c r="G16" s="256">
        <f t="shared" si="8"/>
        <v>12584.42685798919</v>
      </c>
      <c r="H16" s="256">
        <f t="shared" si="8"/>
        <v>12584.42685798919</v>
      </c>
      <c r="I16" s="256">
        <f t="shared" si="8"/>
        <v>18112.865710054037</v>
      </c>
      <c r="J16" s="256">
        <f t="shared" si="6"/>
        <v>12584.42685798919</v>
      </c>
      <c r="K16" s="256">
        <f t="shared" si="6"/>
        <v>12584.42685798919</v>
      </c>
      <c r="L16" s="256">
        <f t="shared" si="6"/>
        <v>12584.42685798919</v>
      </c>
      <c r="M16" s="256">
        <f t="shared" si="6"/>
        <v>12584.42685798919</v>
      </c>
      <c r="N16" s="256">
        <f t="shared" si="6"/>
        <v>12584.42685798919</v>
      </c>
      <c r="O16" s="256">
        <f t="shared" si="6"/>
        <v>18112.865710054037</v>
      </c>
      <c r="P16" s="256">
        <f t="shared" si="6"/>
        <v>12584.42685798919</v>
      </c>
      <c r="Q16" s="256">
        <f t="shared" si="6"/>
        <v>12584.42685798919</v>
      </c>
      <c r="R16" s="256">
        <f t="shared" si="6"/>
        <v>4844.6124650984084</v>
      </c>
      <c r="S16" s="253">
        <f t="shared" si="3"/>
        <v>0</v>
      </c>
      <c r="T16" s="256">
        <f t="shared" si="4"/>
        <v>162070</v>
      </c>
      <c r="V16" s="261"/>
    </row>
    <row r="17" spans="1:22" ht="15.75" x14ac:dyDescent="0.25">
      <c r="A17" s="254" t="s">
        <v>162</v>
      </c>
      <c r="B17" s="255" t="s">
        <v>161</v>
      </c>
      <c r="C17" s="262">
        <v>9397</v>
      </c>
      <c r="D17" s="263">
        <v>1</v>
      </c>
      <c r="E17" s="259">
        <v>155855</v>
      </c>
      <c r="F17" s="256">
        <f t="shared" si="7"/>
        <v>7443.010873104171</v>
      </c>
      <c r="G17" s="256">
        <f t="shared" si="8"/>
        <v>12101.843943678075</v>
      </c>
      <c r="H17" s="256">
        <f t="shared" si="8"/>
        <v>12101.843943678075</v>
      </c>
      <c r="I17" s="256">
        <f t="shared" si="8"/>
        <v>17418.280281609626</v>
      </c>
      <c r="J17" s="256">
        <f t="shared" si="6"/>
        <v>12101.843943678075</v>
      </c>
      <c r="K17" s="256">
        <f t="shared" si="6"/>
        <v>12101.843943678075</v>
      </c>
      <c r="L17" s="256">
        <f t="shared" si="6"/>
        <v>12101.843943678075</v>
      </c>
      <c r="M17" s="256">
        <f t="shared" si="6"/>
        <v>12101.843943678075</v>
      </c>
      <c r="N17" s="256">
        <f t="shared" si="6"/>
        <v>12101.843943678075</v>
      </c>
      <c r="O17" s="256">
        <f t="shared" si="6"/>
        <v>17418.280281609626</v>
      </c>
      <c r="P17" s="256">
        <f t="shared" si="6"/>
        <v>12101.843943678075</v>
      </c>
      <c r="Q17" s="256">
        <f t="shared" si="6"/>
        <v>12101.843943678075</v>
      </c>
      <c r="R17" s="256">
        <f t="shared" si="6"/>
        <v>4658.8330705739036</v>
      </c>
      <c r="S17" s="253">
        <f t="shared" si="3"/>
        <v>0</v>
      </c>
      <c r="T17" s="256">
        <f t="shared" si="4"/>
        <v>155854.99999999997</v>
      </c>
      <c r="V17" s="261"/>
    </row>
    <row r="18" spans="1:22" ht="15.75" x14ac:dyDescent="0.25">
      <c r="A18" s="254" t="s">
        <v>163</v>
      </c>
      <c r="B18" s="255" t="s">
        <v>286</v>
      </c>
      <c r="C18" s="262">
        <v>9397</v>
      </c>
      <c r="D18" s="263">
        <v>1</v>
      </c>
      <c r="E18" s="259">
        <v>165789</v>
      </c>
      <c r="F18" s="256">
        <f t="shared" si="7"/>
        <v>7917.4189447952722</v>
      </c>
      <c r="G18" s="256">
        <f t="shared" si="8"/>
        <v>12873.200125619609</v>
      </c>
      <c r="H18" s="256">
        <f t="shared" si="8"/>
        <v>12873.200125619609</v>
      </c>
      <c r="I18" s="256">
        <f t="shared" si="8"/>
        <v>18528.499371901944</v>
      </c>
      <c r="J18" s="256">
        <f t="shared" si="6"/>
        <v>12873.200125619609</v>
      </c>
      <c r="K18" s="256">
        <f t="shared" si="6"/>
        <v>12873.200125619609</v>
      </c>
      <c r="L18" s="256">
        <f t="shared" si="6"/>
        <v>12873.200125619609</v>
      </c>
      <c r="M18" s="256">
        <f t="shared" si="6"/>
        <v>12873.200125619609</v>
      </c>
      <c r="N18" s="256">
        <f t="shared" si="6"/>
        <v>12873.200125619609</v>
      </c>
      <c r="O18" s="256">
        <f t="shared" si="6"/>
        <v>18528.499371901944</v>
      </c>
      <c r="P18" s="256">
        <f t="shared" si="6"/>
        <v>12873.200125619609</v>
      </c>
      <c r="Q18" s="256">
        <f t="shared" si="6"/>
        <v>12873.200125619609</v>
      </c>
      <c r="R18" s="256">
        <f t="shared" si="6"/>
        <v>4955.7811808243359</v>
      </c>
      <c r="S18" s="253">
        <f t="shared" si="3"/>
        <v>0</v>
      </c>
      <c r="T18" s="256">
        <f t="shared" si="4"/>
        <v>165788.99999999994</v>
      </c>
      <c r="V18" s="261"/>
    </row>
    <row r="19" spans="1:22" ht="15.75" x14ac:dyDescent="0.25">
      <c r="A19" s="254" t="s">
        <v>164</v>
      </c>
      <c r="B19" s="255" t="s">
        <v>254</v>
      </c>
      <c r="C19" s="262">
        <v>9397</v>
      </c>
      <c r="D19" s="263">
        <v>1</v>
      </c>
      <c r="E19" s="259">
        <v>92658</v>
      </c>
      <c r="F19" s="256">
        <f t="shared" si="7"/>
        <v>4424.9751466432654</v>
      </c>
      <c r="G19" s="256">
        <f t="shared" si="8"/>
        <v>7194.7172444472299</v>
      </c>
      <c r="H19" s="256">
        <f t="shared" si="8"/>
        <v>7194.7172444472299</v>
      </c>
      <c r="I19" s="256">
        <f t="shared" si="8"/>
        <v>10355.413777763848</v>
      </c>
      <c r="J19" s="256">
        <f t="shared" si="6"/>
        <v>7194.7172444472299</v>
      </c>
      <c r="K19" s="256">
        <f t="shared" si="6"/>
        <v>7194.7172444472299</v>
      </c>
      <c r="L19" s="256">
        <f t="shared" si="6"/>
        <v>7194.7172444472299</v>
      </c>
      <c r="M19" s="256">
        <f t="shared" si="6"/>
        <v>7194.7172444472299</v>
      </c>
      <c r="N19" s="256">
        <f t="shared" si="6"/>
        <v>7194.7172444472299</v>
      </c>
      <c r="O19" s="256">
        <f t="shared" si="6"/>
        <v>10355.413777763848</v>
      </c>
      <c r="P19" s="256">
        <f t="shared" si="6"/>
        <v>7194.7172444472299</v>
      </c>
      <c r="Q19" s="256">
        <f t="shared" si="6"/>
        <v>7194.7172444472299</v>
      </c>
      <c r="R19" s="256">
        <f t="shared" si="6"/>
        <v>2769.7420978039636</v>
      </c>
      <c r="S19" s="253">
        <f t="shared" si="3"/>
        <v>0</v>
      </c>
      <c r="T19" s="256">
        <f t="shared" ref="T19" si="9">SUM(F19:S19)</f>
        <v>92657.999999999985</v>
      </c>
      <c r="V19" s="261"/>
    </row>
    <row r="20" spans="1:22" ht="15.75" x14ac:dyDescent="0.25">
      <c r="A20" s="254" t="s">
        <v>285</v>
      </c>
      <c r="B20" s="255" t="s">
        <v>296</v>
      </c>
      <c r="C20" s="262">
        <v>9397</v>
      </c>
      <c r="D20" s="263"/>
      <c r="E20" s="259">
        <v>743</v>
      </c>
      <c r="F20" s="337">
        <f t="shared" ref="F20:L20" si="10">IF(F$2=0,0,$E20)</f>
        <v>743</v>
      </c>
      <c r="G20" s="337">
        <f t="shared" si="10"/>
        <v>743</v>
      </c>
      <c r="H20" s="337">
        <f t="shared" si="10"/>
        <v>743</v>
      </c>
      <c r="I20" s="337">
        <f t="shared" si="10"/>
        <v>743</v>
      </c>
      <c r="J20" s="337">
        <f t="shared" si="10"/>
        <v>743</v>
      </c>
      <c r="K20" s="337">
        <f t="shared" si="10"/>
        <v>743</v>
      </c>
      <c r="L20" s="337">
        <f t="shared" si="10"/>
        <v>743</v>
      </c>
      <c r="M20" s="337">
        <f t="shared" ref="M20:Q20" si="11">IF(M$2=0,0,$E20)</f>
        <v>743</v>
      </c>
      <c r="N20" s="337">
        <f t="shared" si="11"/>
        <v>743</v>
      </c>
      <c r="O20" s="337">
        <f t="shared" si="11"/>
        <v>743</v>
      </c>
      <c r="P20" s="337">
        <f t="shared" si="11"/>
        <v>743</v>
      </c>
      <c r="Q20" s="337">
        <f t="shared" si="11"/>
        <v>743</v>
      </c>
      <c r="R20" s="256">
        <v>0</v>
      </c>
      <c r="S20" s="253">
        <v>0</v>
      </c>
      <c r="T20" s="256">
        <f t="shared" si="4"/>
        <v>8916</v>
      </c>
      <c r="V20" s="261"/>
    </row>
    <row r="21" spans="1:22" x14ac:dyDescent="0.25">
      <c r="D21" s="260">
        <f>SUM(D5:D20)</f>
        <v>15</v>
      </c>
      <c r="E21" s="261">
        <f>SUM(E5:E20)</f>
        <v>1781205</v>
      </c>
      <c r="F21" s="261">
        <f t="shared" ref="F21:S21" si="12">SUM(F5:F20)</f>
        <v>80995.137806540573</v>
      </c>
      <c r="G21" s="261">
        <f t="shared" si="12"/>
        <v>131227.6740706499</v>
      </c>
      <c r="H21" s="261">
        <f t="shared" si="12"/>
        <v>131227.6740706499</v>
      </c>
      <c r="I21" s="261">
        <f t="shared" si="12"/>
        <v>188550.62964675031</v>
      </c>
      <c r="J21" s="261">
        <f t="shared" si="12"/>
        <v>131227.6740706499</v>
      </c>
      <c r="K21" s="261">
        <f t="shared" si="12"/>
        <v>131227.6740706499</v>
      </c>
      <c r="L21" s="261">
        <f t="shared" si="12"/>
        <v>131227.6740706499</v>
      </c>
      <c r="M21" s="261">
        <f t="shared" si="12"/>
        <v>138992.48363317797</v>
      </c>
      <c r="N21" s="261">
        <f t="shared" si="12"/>
        <v>138992.48363317797</v>
      </c>
      <c r="O21" s="261">
        <f t="shared" si="12"/>
        <v>199726.58183411011</v>
      </c>
      <c r="P21" s="261">
        <f t="shared" si="12"/>
        <v>138992.48363317797</v>
      </c>
      <c r="Q21" s="261">
        <f t="shared" si="12"/>
        <v>129190.9645223988</v>
      </c>
      <c r="R21" s="261">
        <f t="shared" si="12"/>
        <v>49448.466510548969</v>
      </c>
      <c r="S21" s="261">
        <f t="shared" si="12"/>
        <v>0</v>
      </c>
      <c r="T21" s="261">
        <f>SUM(T5:T20)</f>
        <v>1721027.6015731324</v>
      </c>
    </row>
    <row r="23" spans="1:22" x14ac:dyDescent="0.25">
      <c r="B23" s="326" t="s">
        <v>248</v>
      </c>
      <c r="D23" s="327">
        <v>1.1755199999999999</v>
      </c>
      <c r="E23" s="328">
        <f>D23/D25</f>
        <v>0.88689708245625942</v>
      </c>
    </row>
    <row r="24" spans="1:22" x14ac:dyDescent="0.25">
      <c r="B24" s="326" t="s">
        <v>247</v>
      </c>
      <c r="D24" s="327">
        <v>0.14990999999999999</v>
      </c>
      <c r="E24" s="328">
        <f>D24/D25</f>
        <v>0.11310291754374052</v>
      </c>
    </row>
    <row r="25" spans="1:22" x14ac:dyDescent="0.25">
      <c r="D25" s="328">
        <f>SUM(D23:D24)</f>
        <v>1.3254299999999999</v>
      </c>
      <c r="E25" s="328">
        <f>SUM(E23:E24)</f>
        <v>1</v>
      </c>
    </row>
    <row r="27" spans="1:22" x14ac:dyDescent="0.25">
      <c r="E27" s="329"/>
      <c r="F27" s="330"/>
    </row>
    <row r="28" spans="1:22" x14ac:dyDescent="0.25">
      <c r="E28" s="329"/>
      <c r="F28" s="330"/>
    </row>
  </sheetData>
  <pageMargins left="0.2" right="0.2" top="0.75" bottom="0.75" header="0.3" footer="0.3"/>
  <pageSetup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X86"/>
  <sheetViews>
    <sheetView zoomScale="68" zoomScaleNormal="68" zoomScaleSheet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36" sqref="M36:W55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3.7109375" style="37" customWidth="1"/>
    <col min="12" max="12" width="13.5703125" style="37" customWidth="1"/>
    <col min="13" max="13" width="19.5703125" style="37" customWidth="1"/>
    <col min="14" max="14" width="15.85546875" style="37" customWidth="1"/>
    <col min="15" max="15" width="13.5703125" style="37" bestFit="1" customWidth="1"/>
    <col min="16" max="16" width="17.42578125" style="37" customWidth="1"/>
    <col min="17" max="17" width="13" style="37" bestFit="1" customWidth="1"/>
    <col min="18" max="18" width="17.140625" style="37" customWidth="1"/>
    <col min="19" max="19" width="14.140625" style="37" bestFit="1" customWidth="1"/>
    <col min="20" max="20" width="15.140625" style="64" customWidth="1"/>
    <col min="21" max="21" width="14.85546875" style="64" customWidth="1"/>
    <col min="22" max="22" width="12.5703125" style="64" customWidth="1"/>
    <col min="23" max="23" width="14.28515625" style="64" customWidth="1"/>
    <col min="24" max="24" width="18" style="21" bestFit="1" customWidth="1"/>
  </cols>
  <sheetData>
    <row r="1" spans="1:24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19" t="s">
        <v>1</v>
      </c>
    </row>
    <row r="2" spans="1:24" s="1" customFormat="1" ht="18" customHeight="1" x14ac:dyDescent="0.25">
      <c r="A2" s="47" t="s">
        <v>2</v>
      </c>
      <c r="B2" s="49" t="s">
        <v>100</v>
      </c>
      <c r="C2" s="47"/>
      <c r="D2" s="48"/>
      <c r="E2" s="48"/>
      <c r="F2" s="48"/>
      <c r="G2" s="48"/>
      <c r="H2" s="48"/>
      <c r="I2" s="48"/>
      <c r="J2" s="133" t="s">
        <v>137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 t="s">
        <v>102</v>
      </c>
      <c r="W2" s="48"/>
      <c r="X2" s="19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8.3333333333333329E-2</v>
      </c>
      <c r="W3" s="48"/>
      <c r="X3" s="20"/>
    </row>
    <row r="4" spans="1:24" s="1" customFormat="1" ht="18" customHeight="1" x14ac:dyDescent="0.25">
      <c r="A4" s="47" t="s">
        <v>9</v>
      </c>
      <c r="B4" s="47" t="s">
        <v>96</v>
      </c>
      <c r="C4" s="49" t="s">
        <v>99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20"/>
    </row>
    <row r="5" spans="1:24" s="82" customFormat="1" ht="45.75" customHeight="1" x14ac:dyDescent="0.25">
      <c r="A5" s="80" t="s">
        <v>11</v>
      </c>
      <c r="B5" s="80" t="s">
        <v>12</v>
      </c>
      <c r="C5" s="80"/>
      <c r="D5" s="53" t="s">
        <v>13</v>
      </c>
      <c r="E5" s="53" t="s">
        <v>14</v>
      </c>
      <c r="F5" s="53" t="s">
        <v>15</v>
      </c>
      <c r="G5" s="53" t="s">
        <v>16</v>
      </c>
      <c r="H5" s="53" t="s">
        <v>17</v>
      </c>
      <c r="I5" s="53" t="s">
        <v>18</v>
      </c>
      <c r="J5" s="53" t="s">
        <v>19</v>
      </c>
      <c r="K5" s="53" t="s">
        <v>20</v>
      </c>
      <c r="L5" s="53" t="s">
        <v>21</v>
      </c>
      <c r="M5" s="53" t="s">
        <v>22</v>
      </c>
      <c r="N5" s="53" t="s">
        <v>23</v>
      </c>
      <c r="O5" s="53" t="s">
        <v>24</v>
      </c>
      <c r="P5" s="53" t="s">
        <v>25</v>
      </c>
      <c r="Q5" s="53" t="s">
        <v>26</v>
      </c>
      <c r="R5" s="53" t="s">
        <v>27</v>
      </c>
      <c r="S5" s="53" t="s">
        <v>28</v>
      </c>
      <c r="T5" s="53" t="s">
        <v>29</v>
      </c>
      <c r="U5" s="53" t="s">
        <v>30</v>
      </c>
      <c r="V5" s="53" t="s">
        <v>31</v>
      </c>
      <c r="W5" s="53" t="s">
        <v>31</v>
      </c>
      <c r="X5" s="81"/>
    </row>
    <row r="6" spans="1:24" s="82" customFormat="1" ht="39.75" customHeight="1" x14ac:dyDescent="0.25">
      <c r="A6" s="80"/>
      <c r="B6" s="80"/>
      <c r="C6" s="80"/>
      <c r="D6" s="83" t="s">
        <v>5</v>
      </c>
      <c r="E6" s="83" t="s">
        <v>1</v>
      </c>
      <c r="F6" s="83" t="s">
        <v>1</v>
      </c>
      <c r="G6" s="83" t="s">
        <v>1</v>
      </c>
      <c r="H6" s="83" t="s">
        <v>1</v>
      </c>
      <c r="I6" s="83" t="s">
        <v>1</v>
      </c>
      <c r="J6" s="83" t="s">
        <v>1</v>
      </c>
      <c r="K6" s="83" t="s">
        <v>1</v>
      </c>
      <c r="L6" s="83" t="s">
        <v>1</v>
      </c>
      <c r="M6" s="83" t="s">
        <v>1</v>
      </c>
      <c r="N6" s="83" t="s">
        <v>1</v>
      </c>
      <c r="O6" s="83" t="s">
        <v>1</v>
      </c>
      <c r="P6" s="83" t="s">
        <v>1</v>
      </c>
      <c r="Q6" s="83" t="s">
        <v>1</v>
      </c>
      <c r="R6" s="83" t="s">
        <v>1</v>
      </c>
      <c r="S6" s="83" t="s">
        <v>5</v>
      </c>
      <c r="T6" s="53" t="s">
        <v>32</v>
      </c>
      <c r="U6" s="53" t="s">
        <v>33</v>
      </c>
      <c r="V6" s="55" t="s">
        <v>34</v>
      </c>
      <c r="W6" s="55" t="s">
        <v>35</v>
      </c>
      <c r="X6" s="81"/>
    </row>
    <row r="7" spans="1:24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56"/>
    </row>
    <row r="8" spans="1:24" s="4" customFormat="1" ht="18" customHeight="1" x14ac:dyDescent="0.25">
      <c r="A8" s="190"/>
      <c r="B8" s="193" t="s">
        <v>36</v>
      </c>
      <c r="C8" s="194"/>
      <c r="D8" s="195">
        <v>0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1"/>
      <c r="W8" s="191"/>
      <c r="X8" s="56"/>
    </row>
    <row r="9" spans="1:24" s="4" customFormat="1" ht="18" customHeight="1" x14ac:dyDescent="0.25">
      <c r="A9" s="190"/>
      <c r="B9" s="193" t="s">
        <v>107</v>
      </c>
      <c r="C9" s="194"/>
      <c r="D9" s="196">
        <v>0</v>
      </c>
      <c r="E9" s="227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1"/>
      <c r="W9" s="191"/>
      <c r="X9" s="56"/>
    </row>
    <row r="10" spans="1:24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8"/>
      <c r="U10" s="195"/>
      <c r="V10" s="191"/>
      <c r="W10" s="191"/>
      <c r="X10" s="56"/>
    </row>
    <row r="11" spans="1:24" s="4" customFormat="1" ht="18" customHeight="1" x14ac:dyDescent="0.2">
      <c r="A11" s="193" t="s">
        <v>101</v>
      </c>
      <c r="B11" s="193" t="s">
        <v>98</v>
      </c>
      <c r="C11" s="193"/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198">
        <v>0</v>
      </c>
      <c r="R11" s="198">
        <v>0</v>
      </c>
      <c r="S11" s="198">
        <f>SUMIF($D$6:$R$6,$X$2,D11:R11)</f>
        <v>0</v>
      </c>
      <c r="T11" s="198">
        <f>SUM(D11:R11)</f>
        <v>0</v>
      </c>
      <c r="U11" s="198">
        <v>0</v>
      </c>
      <c r="V11" s="199">
        <f>IF(U11=0,0,SUMIF($D$6:$R$6,$X$2,D11:R11)/U11)</f>
        <v>0</v>
      </c>
      <c r="W11" s="199">
        <f>IF(U11=0,0,T11/U11)</f>
        <v>0</v>
      </c>
      <c r="X11" s="56"/>
    </row>
    <row r="12" spans="1:24" s="4" customFormat="1" ht="18" customHeight="1" x14ac:dyDescent="0.2">
      <c r="A12" s="193" t="s">
        <v>38</v>
      </c>
      <c r="B12" s="193" t="s">
        <v>130</v>
      </c>
      <c r="C12" s="193"/>
      <c r="D12" s="198">
        <v>0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0</v>
      </c>
      <c r="Q12" s="198">
        <v>0</v>
      </c>
      <c r="R12" s="198">
        <v>0</v>
      </c>
      <c r="S12" s="198">
        <f>SUMIF($D$6:$R$6,$X$2,D12:R12)</f>
        <v>0</v>
      </c>
      <c r="T12" s="198">
        <f>SUM(D12:R12)</f>
        <v>0</v>
      </c>
      <c r="U12" s="198">
        <v>0</v>
      </c>
      <c r="V12" s="199">
        <f>IF(U12=0,0,SUMIF($D$6:$R$6,$X$2,D12:R12)/U12)</f>
        <v>0</v>
      </c>
      <c r="W12" s="199">
        <f>IF(U12=0,0,T12/U12)</f>
        <v>0</v>
      </c>
      <c r="X12" s="56"/>
    </row>
    <row r="13" spans="1:24" s="1" customFormat="1" ht="18" customHeight="1" x14ac:dyDescent="0.2">
      <c r="A13" s="193"/>
      <c r="B13" s="193"/>
      <c r="C13" s="193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9"/>
      <c r="W13" s="199"/>
      <c r="X13" s="56"/>
    </row>
    <row r="14" spans="1:24" s="1" customFormat="1" ht="18" customHeight="1" x14ac:dyDescent="0.25">
      <c r="A14" s="200" t="s">
        <v>42</v>
      </c>
      <c r="B14" s="200"/>
      <c r="C14" s="200"/>
      <c r="D14" s="201">
        <f t="shared" ref="D14:U14" si="0">SUM(D10:D13)</f>
        <v>0</v>
      </c>
      <c r="E14" s="201">
        <f t="shared" si="0"/>
        <v>0</v>
      </c>
      <c r="F14" s="201">
        <f t="shared" si="0"/>
        <v>0</v>
      </c>
      <c r="G14" s="201">
        <f t="shared" si="0"/>
        <v>0</v>
      </c>
      <c r="H14" s="201">
        <f t="shared" si="0"/>
        <v>0</v>
      </c>
      <c r="I14" s="201">
        <f t="shared" si="0"/>
        <v>0</v>
      </c>
      <c r="J14" s="201">
        <f t="shared" si="0"/>
        <v>0</v>
      </c>
      <c r="K14" s="201">
        <f t="shared" si="0"/>
        <v>0</v>
      </c>
      <c r="L14" s="201">
        <f t="shared" si="0"/>
        <v>0</v>
      </c>
      <c r="M14" s="201">
        <f t="shared" si="0"/>
        <v>0</v>
      </c>
      <c r="N14" s="201">
        <f t="shared" si="0"/>
        <v>0</v>
      </c>
      <c r="O14" s="201">
        <f t="shared" si="0"/>
        <v>0</v>
      </c>
      <c r="P14" s="201">
        <f t="shared" si="0"/>
        <v>0</v>
      </c>
      <c r="Q14" s="201">
        <f t="shared" si="0"/>
        <v>0</v>
      </c>
      <c r="R14" s="201">
        <f t="shared" si="0"/>
        <v>0</v>
      </c>
      <c r="S14" s="201">
        <f t="shared" si="0"/>
        <v>0</v>
      </c>
      <c r="T14" s="201">
        <f t="shared" si="0"/>
        <v>0</v>
      </c>
      <c r="U14" s="201">
        <f t="shared" si="0"/>
        <v>0</v>
      </c>
      <c r="V14" s="202" t="e">
        <f>SUMIF($D$6:$R$6,$X$2,D14:R14)/U14</f>
        <v>#DIV/0!</v>
      </c>
      <c r="W14" s="202" t="e">
        <f>T14/U14</f>
        <v>#DIV/0!</v>
      </c>
      <c r="X14" s="56"/>
    </row>
    <row r="15" spans="1:24" s="1" customFormat="1" ht="18" customHeight="1" x14ac:dyDescent="0.2">
      <c r="A15" s="203"/>
      <c r="B15" s="203"/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5"/>
      <c r="W15" s="205"/>
      <c r="X15" s="56"/>
    </row>
    <row r="16" spans="1:24" s="1" customFormat="1" ht="18" customHeight="1" x14ac:dyDescent="0.25">
      <c r="A16" s="194" t="s">
        <v>43</v>
      </c>
      <c r="B16" s="194"/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02"/>
      <c r="W16" s="202"/>
      <c r="X16" s="56"/>
    </row>
    <row r="17" spans="1:24" s="4" customFormat="1" ht="18" customHeight="1" x14ac:dyDescent="0.25">
      <c r="A17" s="193" t="s">
        <v>44</v>
      </c>
      <c r="B17" s="193" t="s">
        <v>45</v>
      </c>
      <c r="C17" s="194"/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198">
        <v>0</v>
      </c>
      <c r="R17" s="198">
        <v>0</v>
      </c>
      <c r="S17" s="198">
        <f t="shared" ref="S17:S26" si="1">SUMIF($D$6:$R$6,$X$2,D17:R17)</f>
        <v>0</v>
      </c>
      <c r="T17" s="198">
        <f t="shared" ref="T17:T26" si="2">SUM(D17:R17)</f>
        <v>0</v>
      </c>
      <c r="U17" s="198">
        <v>0</v>
      </c>
      <c r="V17" s="199">
        <f t="shared" ref="V17:V27" si="3">IF(U17=0,0,SUMIF($D$6:$R$6,$X$2,D17:R17)/U17)</f>
        <v>0</v>
      </c>
      <c r="W17" s="199">
        <f t="shared" ref="W17:W27" si="4">IF(U17=0,0,T17/U17)</f>
        <v>0</v>
      </c>
      <c r="X17" s="56"/>
    </row>
    <row r="18" spans="1:24" s="4" customFormat="1" ht="18" customHeight="1" x14ac:dyDescent="0.2">
      <c r="A18" s="193" t="s">
        <v>46</v>
      </c>
      <c r="B18" s="193" t="s">
        <v>47</v>
      </c>
      <c r="C18" s="193"/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198">
        <v>0</v>
      </c>
      <c r="R18" s="198">
        <v>0</v>
      </c>
      <c r="S18" s="198">
        <f t="shared" si="1"/>
        <v>0</v>
      </c>
      <c r="T18" s="198">
        <f t="shared" si="2"/>
        <v>0</v>
      </c>
      <c r="U18" s="198">
        <v>0</v>
      </c>
      <c r="V18" s="199">
        <f t="shared" si="3"/>
        <v>0</v>
      </c>
      <c r="W18" s="199">
        <f t="shared" si="4"/>
        <v>0</v>
      </c>
      <c r="X18" s="102"/>
    </row>
    <row r="19" spans="1:24" s="4" customFormat="1" ht="18" customHeight="1" x14ac:dyDescent="0.2">
      <c r="A19" s="193" t="s">
        <v>38</v>
      </c>
      <c r="B19" s="193" t="s">
        <v>48</v>
      </c>
      <c r="C19" s="193"/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0</v>
      </c>
      <c r="Q19" s="198">
        <v>0</v>
      </c>
      <c r="R19" s="198">
        <v>0</v>
      </c>
      <c r="S19" s="198">
        <f t="shared" si="1"/>
        <v>0</v>
      </c>
      <c r="T19" s="198">
        <f t="shared" si="2"/>
        <v>0</v>
      </c>
      <c r="U19" s="198">
        <v>0</v>
      </c>
      <c r="V19" s="199">
        <f t="shared" si="3"/>
        <v>0</v>
      </c>
      <c r="W19" s="199">
        <f t="shared" si="4"/>
        <v>0</v>
      </c>
      <c r="X19" s="56"/>
    </row>
    <row r="20" spans="1:24" s="4" customFormat="1" ht="18" customHeight="1" x14ac:dyDescent="0.2">
      <c r="A20" s="193" t="s">
        <v>39</v>
      </c>
      <c r="B20" s="193" t="s">
        <v>49</v>
      </c>
      <c r="C20" s="193"/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1"/>
        <v>0</v>
      </c>
      <c r="T20" s="198">
        <f t="shared" si="2"/>
        <v>0</v>
      </c>
      <c r="U20" s="198">
        <v>0</v>
      </c>
      <c r="V20" s="199">
        <f t="shared" si="3"/>
        <v>0</v>
      </c>
      <c r="W20" s="199">
        <f t="shared" si="4"/>
        <v>0</v>
      </c>
      <c r="X20" s="57"/>
    </row>
    <row r="21" spans="1:24" s="4" customFormat="1" ht="18" customHeight="1" x14ac:dyDescent="0.2">
      <c r="A21" s="193" t="s">
        <v>60</v>
      </c>
      <c r="B21" s="193" t="s">
        <v>61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si="1"/>
        <v>0</v>
      </c>
      <c r="T21" s="198">
        <f t="shared" si="2"/>
        <v>0</v>
      </c>
      <c r="U21" s="198">
        <v>0</v>
      </c>
      <c r="V21" s="199">
        <f t="shared" si="3"/>
        <v>0</v>
      </c>
      <c r="W21" s="199">
        <f t="shared" si="4"/>
        <v>0</v>
      </c>
      <c r="X21" s="57"/>
    </row>
    <row r="22" spans="1:24" s="4" customFormat="1" ht="18" customHeight="1" x14ac:dyDescent="0.2">
      <c r="A22" s="193" t="s">
        <v>64</v>
      </c>
      <c r="B22" s="193" t="s">
        <v>65</v>
      </c>
      <c r="C22" s="193"/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f t="shared" si="1"/>
        <v>0</v>
      </c>
      <c r="T22" s="198">
        <f t="shared" si="2"/>
        <v>0</v>
      </c>
      <c r="U22" s="198">
        <v>0</v>
      </c>
      <c r="V22" s="199">
        <f t="shared" si="3"/>
        <v>0</v>
      </c>
      <c r="W22" s="199">
        <f t="shared" si="4"/>
        <v>0</v>
      </c>
      <c r="X22" s="102"/>
    </row>
    <row r="23" spans="1:24" s="4" customFormat="1" ht="18" customHeight="1" x14ac:dyDescent="0.2">
      <c r="A23" s="193" t="s">
        <v>66</v>
      </c>
      <c r="B23" s="193" t="s">
        <v>67</v>
      </c>
      <c r="C23" s="193"/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f t="shared" si="1"/>
        <v>0</v>
      </c>
      <c r="T23" s="198">
        <f t="shared" si="2"/>
        <v>0</v>
      </c>
      <c r="U23" s="198">
        <v>0</v>
      </c>
      <c r="V23" s="199">
        <f t="shared" si="3"/>
        <v>0</v>
      </c>
      <c r="W23" s="199">
        <f t="shared" si="4"/>
        <v>0</v>
      </c>
      <c r="X23" s="102"/>
    </row>
    <row r="24" spans="1:24" s="4" customFormat="1" ht="18" customHeight="1" x14ac:dyDescent="0.2">
      <c r="A24" s="193" t="s">
        <v>71</v>
      </c>
      <c r="B24" s="193" t="s">
        <v>72</v>
      </c>
      <c r="C24" s="193"/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f t="shared" ref="S24" si="5">SUMIF($D$6:$R$6,$X$2,D24:R24)</f>
        <v>0</v>
      </c>
      <c r="T24" s="198">
        <f t="shared" ref="T24" si="6">SUM(D24:R24)</f>
        <v>0</v>
      </c>
      <c r="U24" s="198">
        <v>0</v>
      </c>
      <c r="V24" s="199">
        <f t="shared" ref="V24" si="7">IF(U24=0,0,SUMIF($D$6:$R$6,$X$2,D24:R24)/U24)</f>
        <v>0</v>
      </c>
      <c r="W24" s="199"/>
      <c r="X24" s="102"/>
    </row>
    <row r="25" spans="1:24" s="4" customFormat="1" ht="18" customHeight="1" x14ac:dyDescent="0.2">
      <c r="A25" s="193" t="s">
        <v>97</v>
      </c>
      <c r="B25" s="193" t="s">
        <v>70</v>
      </c>
      <c r="C25" s="228"/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f t="shared" si="1"/>
        <v>0</v>
      </c>
      <c r="T25" s="198">
        <f t="shared" si="2"/>
        <v>0</v>
      </c>
      <c r="U25" s="198">
        <v>0</v>
      </c>
      <c r="V25" s="199">
        <f t="shared" si="3"/>
        <v>0</v>
      </c>
      <c r="W25" s="199">
        <f t="shared" si="4"/>
        <v>0</v>
      </c>
      <c r="X25" s="102"/>
    </row>
    <row r="26" spans="1:24" s="4" customFormat="1" ht="18" customHeight="1" x14ac:dyDescent="0.2">
      <c r="A26" s="193" t="s">
        <v>75</v>
      </c>
      <c r="B26" s="193" t="s">
        <v>76</v>
      </c>
      <c r="C26" s="228"/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f t="shared" si="1"/>
        <v>0</v>
      </c>
      <c r="T26" s="198">
        <f t="shared" si="2"/>
        <v>0</v>
      </c>
      <c r="U26" s="198">
        <v>0</v>
      </c>
      <c r="V26" s="199">
        <f t="shared" si="3"/>
        <v>0</v>
      </c>
      <c r="W26" s="199">
        <f t="shared" si="4"/>
        <v>0</v>
      </c>
      <c r="X26" s="102"/>
    </row>
    <row r="27" spans="1:24" s="4" customFormat="1" ht="18" customHeight="1" x14ac:dyDescent="0.2">
      <c r="A27" s="137" t="s">
        <v>79</v>
      </c>
      <c r="B27" s="137" t="s">
        <v>80</v>
      </c>
      <c r="C27" s="151"/>
      <c r="D27" s="142">
        <v>0</v>
      </c>
      <c r="E27" s="142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142">
        <f t="shared" ref="S27" si="8">SUMIF($D$6:$R$6,$X$2,D27:R27)</f>
        <v>0</v>
      </c>
      <c r="T27" s="142">
        <f t="shared" ref="T27" si="9">SUM(D27:R27)</f>
        <v>0</v>
      </c>
      <c r="U27" s="142">
        <v>0</v>
      </c>
      <c r="V27" s="143">
        <f t="shared" si="3"/>
        <v>0</v>
      </c>
      <c r="W27" s="143">
        <f t="shared" si="4"/>
        <v>0</v>
      </c>
      <c r="X27" s="102"/>
    </row>
    <row r="28" spans="1:24" ht="18" customHeight="1" x14ac:dyDescent="0.2">
      <c r="A28" s="137"/>
      <c r="B28" s="137"/>
      <c r="C28" s="137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3"/>
      <c r="W28" s="143"/>
      <c r="X28" s="102"/>
    </row>
    <row r="29" spans="1:24" ht="18" customHeight="1" x14ac:dyDescent="0.25">
      <c r="A29" s="200" t="s">
        <v>81</v>
      </c>
      <c r="B29" s="200"/>
      <c r="C29" s="200"/>
      <c r="D29" s="201">
        <f t="shared" ref="D29:P29" si="10">SUM(D17:D28)</f>
        <v>0</v>
      </c>
      <c r="E29" s="201">
        <f t="shared" si="10"/>
        <v>0</v>
      </c>
      <c r="F29" s="201">
        <f t="shared" si="10"/>
        <v>0</v>
      </c>
      <c r="G29" s="201">
        <f t="shared" si="10"/>
        <v>0</v>
      </c>
      <c r="H29" s="201">
        <f t="shared" si="10"/>
        <v>0</v>
      </c>
      <c r="I29" s="201">
        <f t="shared" si="10"/>
        <v>0</v>
      </c>
      <c r="J29" s="201">
        <f t="shared" si="10"/>
        <v>0</v>
      </c>
      <c r="K29" s="201">
        <f t="shared" si="10"/>
        <v>0</v>
      </c>
      <c r="L29" s="201">
        <f t="shared" si="10"/>
        <v>0</v>
      </c>
      <c r="M29" s="201">
        <f t="shared" si="10"/>
        <v>0</v>
      </c>
      <c r="N29" s="201">
        <f t="shared" si="10"/>
        <v>0</v>
      </c>
      <c r="O29" s="201">
        <f t="shared" si="10"/>
        <v>0</v>
      </c>
      <c r="P29" s="201">
        <f t="shared" si="10"/>
        <v>0</v>
      </c>
      <c r="Q29" s="201">
        <f>SUM(Q18:Q28)</f>
        <v>0</v>
      </c>
      <c r="R29" s="201">
        <f>SUM(R18:R28)</f>
        <v>0</v>
      </c>
      <c r="S29" s="201">
        <f>SUM(S17:S28)</f>
        <v>0</v>
      </c>
      <c r="T29" s="201">
        <f>SUM(T17:T28)</f>
        <v>0</v>
      </c>
      <c r="U29" s="201">
        <f>SUM(U17:U28)</f>
        <v>0</v>
      </c>
      <c r="V29" s="202" t="e">
        <f>SUMIF($D$6:$R$6,$X$2,D29:R29)/U29</f>
        <v>#DIV/0!</v>
      </c>
      <c r="W29" s="202" t="e">
        <f>T29/U29</f>
        <v>#DIV/0!</v>
      </c>
      <c r="X29" s="34"/>
    </row>
    <row r="30" spans="1:24" ht="18" customHeight="1" x14ac:dyDescent="0.2">
      <c r="A30" s="203"/>
      <c r="B30" s="203"/>
      <c r="C30" s="203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5"/>
      <c r="W30" s="205"/>
      <c r="X30" s="34"/>
    </row>
    <row r="31" spans="1:24" ht="18" customHeight="1" x14ac:dyDescent="0.2">
      <c r="A31" s="203"/>
      <c r="B31" s="203"/>
      <c r="C31" s="203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5"/>
      <c r="W31" s="205"/>
      <c r="X31" s="34"/>
    </row>
    <row r="32" spans="1:24" ht="18" customHeight="1" x14ac:dyDescent="0.2">
      <c r="A32" s="200" t="s">
        <v>82</v>
      </c>
      <c r="B32" s="200"/>
      <c r="C32" s="200"/>
      <c r="D32" s="201">
        <f t="shared" ref="D32:R32" si="11">D14-D29</f>
        <v>0</v>
      </c>
      <c r="E32" s="201">
        <f t="shared" si="11"/>
        <v>0</v>
      </c>
      <c r="F32" s="201">
        <f t="shared" si="11"/>
        <v>0</v>
      </c>
      <c r="G32" s="201">
        <f t="shared" si="11"/>
        <v>0</v>
      </c>
      <c r="H32" s="201">
        <f t="shared" si="11"/>
        <v>0</v>
      </c>
      <c r="I32" s="201">
        <f t="shared" si="11"/>
        <v>0</v>
      </c>
      <c r="J32" s="201">
        <f t="shared" si="11"/>
        <v>0</v>
      </c>
      <c r="K32" s="201">
        <f t="shared" si="11"/>
        <v>0</v>
      </c>
      <c r="L32" s="201">
        <f t="shared" si="11"/>
        <v>0</v>
      </c>
      <c r="M32" s="201">
        <f t="shared" si="11"/>
        <v>0</v>
      </c>
      <c r="N32" s="201">
        <f t="shared" si="11"/>
        <v>0</v>
      </c>
      <c r="O32" s="201">
        <f t="shared" si="11"/>
        <v>0</v>
      </c>
      <c r="P32" s="201">
        <f t="shared" si="11"/>
        <v>0</v>
      </c>
      <c r="Q32" s="201">
        <f t="shared" si="11"/>
        <v>0</v>
      </c>
      <c r="R32" s="201">
        <f t="shared" si="11"/>
        <v>0</v>
      </c>
      <c r="S32" s="201"/>
      <c r="T32" s="201"/>
      <c r="U32" s="201" t="s">
        <v>10</v>
      </c>
      <c r="V32" s="209"/>
      <c r="W32" s="209"/>
      <c r="X32" s="34"/>
    </row>
    <row r="33" spans="1:24" ht="18" customHeight="1" x14ac:dyDescent="0.2">
      <c r="A33" s="200" t="s">
        <v>83</v>
      </c>
      <c r="B33" s="200"/>
      <c r="C33" s="200"/>
      <c r="D33" s="210">
        <f>D14-D29+D8+D9</f>
        <v>0</v>
      </c>
      <c r="E33" s="210">
        <f>D33+E32</f>
        <v>0</v>
      </c>
      <c r="F33" s="210">
        <f>E33+F32+F9</f>
        <v>0</v>
      </c>
      <c r="G33" s="210">
        <f t="shared" ref="G33:R33" si="12">F33+G32</f>
        <v>0</v>
      </c>
      <c r="H33" s="210">
        <f t="shared" si="12"/>
        <v>0</v>
      </c>
      <c r="I33" s="210">
        <f t="shared" si="12"/>
        <v>0</v>
      </c>
      <c r="J33" s="210">
        <f t="shared" si="12"/>
        <v>0</v>
      </c>
      <c r="K33" s="210">
        <f t="shared" si="12"/>
        <v>0</v>
      </c>
      <c r="L33" s="210">
        <f t="shared" si="12"/>
        <v>0</v>
      </c>
      <c r="M33" s="210">
        <f t="shared" si="12"/>
        <v>0</v>
      </c>
      <c r="N33" s="210">
        <f t="shared" si="12"/>
        <v>0</v>
      </c>
      <c r="O33" s="210">
        <f t="shared" si="12"/>
        <v>0</v>
      </c>
      <c r="P33" s="210">
        <f t="shared" si="12"/>
        <v>0</v>
      </c>
      <c r="Q33" s="210">
        <f t="shared" si="12"/>
        <v>0</v>
      </c>
      <c r="R33" s="210">
        <f t="shared" si="12"/>
        <v>0</v>
      </c>
      <c r="S33" s="211"/>
      <c r="T33" s="211"/>
      <c r="U33" s="211" t="s">
        <v>10</v>
      </c>
      <c r="V33" s="212" t="s">
        <v>10</v>
      </c>
      <c r="W33" s="212" t="s">
        <v>10</v>
      </c>
      <c r="X33" s="34"/>
    </row>
    <row r="34" spans="1:24" ht="18" customHeight="1" x14ac:dyDescent="0.2">
      <c r="A34" s="164"/>
      <c r="B34" s="190"/>
      <c r="C34" s="190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  <c r="S34" s="231"/>
      <c r="T34" s="165"/>
      <c r="U34" s="229"/>
      <c r="V34" s="229"/>
      <c r="W34" s="229"/>
      <c r="X34" s="104"/>
    </row>
    <row r="35" spans="1:24" ht="18" customHeight="1" x14ac:dyDescent="0.25">
      <c r="A35" s="162" t="s">
        <v>115</v>
      </c>
      <c r="B35" s="168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5"/>
      <c r="V35" s="165"/>
      <c r="W35" s="165"/>
      <c r="X35" s="34"/>
    </row>
    <row r="36" spans="1:24" s="75" customFormat="1" ht="18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77"/>
    </row>
    <row r="37" spans="1:24" s="75" customFormat="1" ht="18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77"/>
    </row>
    <row r="38" spans="1:24" s="75" customFormat="1" ht="18" customHeight="1" x14ac:dyDescent="0.25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</row>
    <row r="39" spans="1:24" ht="18" customHeight="1" x14ac:dyDescent="0.25">
      <c r="A39" s="162" t="s">
        <v>118</v>
      </c>
      <c r="B39" s="168"/>
      <c r="C39" s="164"/>
      <c r="D39" s="164"/>
      <c r="E39" s="164"/>
      <c r="F39" s="168"/>
      <c r="G39" s="168"/>
      <c r="H39" s="168"/>
      <c r="I39" s="168"/>
      <c r="J39" s="164"/>
      <c r="K39" s="164"/>
      <c r="L39" s="164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75"/>
    </row>
    <row r="40" spans="1:24" ht="18" customHeight="1" x14ac:dyDescent="0.25">
      <c r="A40" s="167"/>
      <c r="B40" s="168"/>
      <c r="C40" s="168"/>
      <c r="D40" s="168"/>
      <c r="E40" s="168"/>
      <c r="F40" s="168"/>
      <c r="G40" s="168"/>
      <c r="H40" s="168"/>
      <c r="I40" s="168"/>
      <c r="J40" s="164"/>
      <c r="K40" s="164"/>
      <c r="L40" s="164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75"/>
    </row>
    <row r="41" spans="1:24" s="75" customFormat="1" ht="18" customHeight="1" x14ac:dyDescent="0.25">
      <c r="A41" s="167"/>
      <c r="B41" s="168"/>
      <c r="C41" s="164"/>
      <c r="D41" s="164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</row>
    <row r="42" spans="1:24" s="75" customFormat="1" ht="18" x14ac:dyDescent="0.2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</row>
    <row r="43" spans="1:24" s="75" customFormat="1" ht="18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</row>
    <row r="44" spans="1:24" s="75" customFormat="1" ht="18" customHeight="1" x14ac:dyDescent="0.25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</row>
    <row r="45" spans="1:24" s="75" customFormat="1" ht="18" customHeight="1" x14ac:dyDescent="0.25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</row>
    <row r="46" spans="1:24" s="75" customFormat="1" ht="18" customHeight="1" x14ac:dyDescent="0.2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</row>
    <row r="47" spans="1:24" s="75" customFormat="1" ht="18" customHeight="1" x14ac:dyDescent="0.25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</row>
    <row r="48" spans="1:24" s="75" customFormat="1" ht="18" customHeight="1" x14ac:dyDescent="0.25">
      <c r="A48" s="219" t="s">
        <v>84</v>
      </c>
      <c r="B48" s="220" t="s">
        <v>85</v>
      </c>
      <c r="C48" s="219" t="s">
        <v>106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</row>
    <row r="49" spans="1:23" s="75" customFormat="1" ht="18" customHeight="1" x14ac:dyDescent="0.25">
      <c r="A49" s="226"/>
      <c r="B49" s="225"/>
      <c r="C49" s="223"/>
      <c r="D49" s="18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77" customFormat="1" ht="18" customHeight="1" x14ac:dyDescent="0.25">
      <c r="A50" s="168"/>
      <c r="B50" s="168"/>
      <c r="C50" s="223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</row>
    <row r="51" spans="1:23" s="75" customFormat="1" ht="18" customHeight="1" x14ac:dyDescent="0.25">
      <c r="A51" s="226"/>
      <c r="B51" s="168"/>
      <c r="C51" s="223"/>
      <c r="D51" s="223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</row>
    <row r="52" spans="1:23" s="75" customFormat="1" ht="18" customHeight="1" x14ac:dyDescent="0.25">
      <c r="A52" s="168"/>
      <c r="B52" s="168"/>
      <c r="C52" s="223"/>
      <c r="D52" s="168"/>
      <c r="E52" s="168"/>
      <c r="F52" s="168"/>
      <c r="G52" s="168"/>
      <c r="H52" s="168"/>
      <c r="I52" s="168"/>
      <c r="J52" s="168"/>
      <c r="K52" s="163"/>
      <c r="L52" s="163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</row>
    <row r="53" spans="1:23" s="75" customFormat="1" ht="18" customHeight="1" x14ac:dyDescent="0.25">
      <c r="A53" s="168"/>
      <c r="B53" s="168"/>
      <c r="C53" s="223"/>
      <c r="D53" s="168"/>
      <c r="E53" s="168"/>
      <c r="F53" s="168"/>
      <c r="G53" s="168"/>
      <c r="H53" s="168"/>
      <c r="I53" s="168"/>
      <c r="J53" s="168"/>
      <c r="K53" s="163"/>
      <c r="L53" s="163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75" customFormat="1" ht="18" customHeight="1" x14ac:dyDescent="0.25">
      <c r="A54" s="168"/>
      <c r="B54" s="168"/>
      <c r="C54" s="223"/>
      <c r="D54" s="234"/>
      <c r="E54" s="234"/>
      <c r="F54" s="168"/>
      <c r="G54" s="168"/>
      <c r="H54" s="168"/>
      <c r="I54" s="168"/>
      <c r="J54" s="168"/>
      <c r="K54" s="167"/>
      <c r="L54" s="163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s="75" customFormat="1" ht="18" customHeight="1" x14ac:dyDescent="0.25">
      <c r="A55" s="168"/>
      <c r="B55" s="181"/>
      <c r="C55" s="175"/>
      <c r="D55" s="168"/>
      <c r="E55" s="168"/>
      <c r="F55" s="168"/>
      <c r="G55" s="168"/>
      <c r="H55" s="232"/>
      <c r="I55" s="168"/>
      <c r="J55" s="168"/>
      <c r="K55" s="167"/>
      <c r="L55" s="163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s="75" customFormat="1" ht="18" customHeight="1" x14ac:dyDescent="0.25">
      <c r="A56" s="168"/>
      <c r="B56" s="168"/>
      <c r="C56" s="168"/>
      <c r="D56" s="168"/>
      <c r="E56" s="168"/>
      <c r="F56" s="168"/>
      <c r="G56" s="168"/>
      <c r="H56" s="232"/>
      <c r="I56" s="168"/>
      <c r="J56" s="168"/>
      <c r="K56" s="163"/>
      <c r="L56" s="163"/>
      <c r="M56" s="163"/>
      <c r="N56" s="163"/>
      <c r="O56" s="163"/>
      <c r="P56" s="168"/>
      <c r="Q56" s="168"/>
      <c r="R56" s="168"/>
      <c r="S56" s="168"/>
      <c r="T56" s="168"/>
      <c r="U56" s="181"/>
      <c r="V56" s="181"/>
      <c r="W56" s="181"/>
    </row>
    <row r="57" spans="1:23" s="75" customFormat="1" ht="18" customHeight="1" thickBot="1" x14ac:dyDescent="0.3">
      <c r="A57" s="168"/>
      <c r="B57" s="168" t="s">
        <v>111</v>
      </c>
      <c r="C57" s="186">
        <f>SUM(C49:C56)</f>
        <v>0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81"/>
      <c r="U57" s="181"/>
      <c r="V57" s="181"/>
      <c r="W57" s="181"/>
    </row>
    <row r="58" spans="1:23" s="75" customFormat="1" ht="18.75" thickTop="1" x14ac:dyDescent="0.25">
      <c r="A58" s="167"/>
      <c r="B58" s="168"/>
      <c r="C58" s="168"/>
      <c r="D58" s="168"/>
      <c r="E58" s="168"/>
      <c r="F58" s="168"/>
      <c r="G58" s="168"/>
      <c r="H58" s="232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81"/>
      <c r="U58" s="181"/>
      <c r="V58" s="181"/>
      <c r="W58" s="181"/>
    </row>
    <row r="59" spans="1:23" s="75" customFormat="1" ht="18" customHeight="1" x14ac:dyDescent="0.25">
      <c r="A59" s="167"/>
      <c r="B59" s="168"/>
      <c r="C59" s="168"/>
      <c r="D59" s="168"/>
      <c r="E59" s="168"/>
      <c r="F59" s="168"/>
      <c r="G59" s="168"/>
      <c r="H59" s="232"/>
      <c r="I59" s="168"/>
      <c r="J59" s="168"/>
      <c r="K59" s="168"/>
      <c r="L59" s="168"/>
      <c r="M59" s="168"/>
      <c r="N59" s="168"/>
      <c r="O59" s="163"/>
      <c r="P59" s="163"/>
      <c r="Q59" s="168"/>
      <c r="R59" s="168"/>
      <c r="S59" s="168"/>
      <c r="T59" s="181"/>
      <c r="U59" s="181"/>
      <c r="V59" s="181"/>
      <c r="W59" s="181"/>
    </row>
    <row r="60" spans="1:23" s="75" customFormat="1" ht="18" customHeight="1" x14ac:dyDescent="0.25">
      <c r="A60" s="168"/>
      <c r="B60" s="168"/>
      <c r="C60" s="168"/>
      <c r="D60" s="168"/>
      <c r="E60" s="168"/>
      <c r="F60" s="172"/>
      <c r="G60" s="232"/>
      <c r="H60" s="232"/>
      <c r="I60" s="168"/>
      <c r="J60" s="168"/>
      <c r="K60" s="168"/>
      <c r="L60" s="168"/>
      <c r="M60" s="168"/>
      <c r="N60" s="168"/>
      <c r="O60" s="163"/>
      <c r="P60" s="163"/>
      <c r="Q60" s="163"/>
      <c r="R60" s="168"/>
      <c r="S60" s="168"/>
      <c r="T60" s="181"/>
      <c r="U60" s="181"/>
      <c r="V60" s="181"/>
      <c r="W60" s="181"/>
    </row>
    <row r="61" spans="1:23" s="75" customFormat="1" ht="18" customHeight="1" x14ac:dyDescent="0.25">
      <c r="A61" s="168"/>
      <c r="B61" s="168"/>
      <c r="C61" s="168"/>
      <c r="D61" s="168"/>
      <c r="E61" s="168"/>
      <c r="F61" s="172"/>
      <c r="G61" s="232"/>
      <c r="H61" s="232"/>
      <c r="I61" s="168"/>
      <c r="J61" s="168"/>
      <c r="K61" s="168"/>
      <c r="L61" s="168"/>
      <c r="M61" s="168"/>
      <c r="N61" s="168"/>
      <c r="O61" s="163"/>
      <c r="P61" s="163"/>
      <c r="Q61" s="163"/>
      <c r="R61" s="168"/>
      <c r="S61" s="168"/>
      <c r="T61" s="181"/>
      <c r="U61" s="181"/>
      <c r="V61" s="181"/>
      <c r="W61" s="181"/>
    </row>
    <row r="62" spans="1:23" s="75" customFormat="1" ht="18" customHeight="1" x14ac:dyDescent="0.25">
      <c r="A62" s="168"/>
      <c r="B62" s="168"/>
      <c r="C62" s="168"/>
      <c r="D62" s="168"/>
      <c r="E62" s="168"/>
      <c r="F62" s="172"/>
      <c r="G62" s="232"/>
      <c r="H62" s="232"/>
      <c r="I62" s="168"/>
      <c r="J62" s="168"/>
      <c r="K62" s="168"/>
      <c r="L62" s="168"/>
      <c r="M62" s="168"/>
      <c r="N62" s="168"/>
      <c r="O62" s="163"/>
      <c r="P62" s="163"/>
      <c r="Q62" s="163"/>
      <c r="R62" s="168"/>
      <c r="S62" s="168"/>
      <c r="T62" s="181"/>
      <c r="U62" s="181"/>
      <c r="V62" s="181"/>
      <c r="W62" s="181"/>
    </row>
    <row r="63" spans="1:23" s="75" customFormat="1" ht="18" customHeight="1" x14ac:dyDescent="0.25">
      <c r="A63" s="168"/>
      <c r="B63" s="168"/>
      <c r="C63" s="168"/>
      <c r="D63" s="168"/>
      <c r="E63" s="168"/>
      <c r="F63" s="168"/>
      <c r="G63" s="168"/>
      <c r="H63" s="232"/>
      <c r="I63" s="168"/>
      <c r="J63" s="168"/>
      <c r="K63" s="168"/>
      <c r="L63" s="168"/>
      <c r="M63" s="168"/>
      <c r="N63" s="168"/>
      <c r="O63" s="163"/>
      <c r="P63" s="163"/>
      <c r="Q63" s="163"/>
      <c r="R63" s="168"/>
      <c r="S63" s="168"/>
      <c r="T63" s="181"/>
      <c r="U63" s="181"/>
      <c r="V63" s="181"/>
      <c r="W63" s="181"/>
    </row>
    <row r="64" spans="1:23" s="75" customFormat="1" ht="18" customHeight="1" x14ac:dyDescent="0.25">
      <c r="A64" s="168"/>
      <c r="B64" s="168"/>
      <c r="C64" s="168"/>
      <c r="D64" s="168"/>
      <c r="E64" s="168"/>
      <c r="F64" s="172"/>
      <c r="G64" s="232"/>
      <c r="H64" s="232"/>
      <c r="I64" s="168"/>
      <c r="J64" s="168"/>
      <c r="K64" s="168"/>
      <c r="L64" s="168"/>
      <c r="M64" s="168"/>
      <c r="N64" s="168"/>
      <c r="O64" s="163"/>
      <c r="P64" s="233"/>
      <c r="Q64" s="163"/>
      <c r="R64" s="168"/>
      <c r="S64" s="168"/>
      <c r="T64" s="181"/>
      <c r="U64" s="181"/>
      <c r="V64" s="181"/>
      <c r="W64" s="181"/>
    </row>
    <row r="65" spans="1:24" s="75" customFormat="1" ht="18" customHeight="1" x14ac:dyDescent="0.25">
      <c r="A65" s="168"/>
      <c r="B65" s="168"/>
      <c r="C65" s="168"/>
      <c r="D65" s="168"/>
      <c r="E65" s="168"/>
      <c r="F65" s="172"/>
      <c r="G65" s="232"/>
      <c r="H65" s="168"/>
      <c r="I65" s="168"/>
      <c r="J65" s="168"/>
      <c r="K65" s="168"/>
      <c r="L65" s="168"/>
      <c r="M65" s="168"/>
      <c r="N65" s="168"/>
      <c r="O65" s="163"/>
      <c r="P65" s="233"/>
      <c r="Q65" s="163"/>
      <c r="R65" s="168"/>
      <c r="S65" s="181"/>
      <c r="T65" s="181"/>
      <c r="U65" s="181"/>
      <c r="V65" s="181"/>
      <c r="W65" s="168"/>
    </row>
    <row r="66" spans="1:24" s="75" customFormat="1" ht="18" customHeight="1" x14ac:dyDescent="0.25">
      <c r="A66" s="168"/>
      <c r="B66" s="168"/>
      <c r="C66" s="168"/>
      <c r="D66" s="168"/>
      <c r="E66" s="168"/>
      <c r="F66" s="172"/>
      <c r="G66" s="232"/>
      <c r="H66" s="168"/>
      <c r="I66" s="168"/>
      <c r="J66" s="168"/>
      <c r="K66" s="168"/>
      <c r="L66" s="168"/>
      <c r="M66" s="168"/>
      <c r="N66" s="168"/>
      <c r="O66" s="163"/>
      <c r="P66" s="163"/>
      <c r="Q66" s="163"/>
      <c r="R66" s="168"/>
      <c r="S66" s="181"/>
      <c r="T66" s="181"/>
      <c r="U66" s="181"/>
      <c r="V66" s="181"/>
      <c r="W66" s="168"/>
    </row>
    <row r="67" spans="1:24" s="75" customFormat="1" ht="18" customHeight="1" x14ac:dyDescent="0.25">
      <c r="A67" s="168"/>
      <c r="B67" s="168"/>
      <c r="C67" s="168"/>
      <c r="D67" s="168"/>
      <c r="E67" s="168"/>
      <c r="F67" s="172"/>
      <c r="G67" s="232"/>
      <c r="H67" s="168"/>
      <c r="I67" s="168"/>
      <c r="J67" s="168"/>
      <c r="K67" s="168"/>
      <c r="L67" s="168"/>
      <c r="M67" s="168"/>
      <c r="N67" s="168"/>
      <c r="O67" s="163"/>
      <c r="P67" s="163"/>
      <c r="Q67" s="168"/>
      <c r="R67" s="164"/>
      <c r="S67" s="165"/>
      <c r="T67" s="165"/>
      <c r="U67" s="165"/>
      <c r="V67" s="165"/>
      <c r="W67" s="164"/>
      <c r="X67" s="37"/>
    </row>
    <row r="68" spans="1:24" s="75" customFormat="1" ht="18" customHeight="1" x14ac:dyDescent="0.25">
      <c r="A68" s="168"/>
      <c r="B68" s="168"/>
      <c r="C68" s="168"/>
      <c r="D68" s="168"/>
      <c r="E68" s="168"/>
      <c r="F68" s="172"/>
      <c r="G68" s="232"/>
      <c r="H68" s="168"/>
      <c r="I68" s="168"/>
      <c r="J68" s="168"/>
      <c r="K68" s="168"/>
      <c r="L68" s="168"/>
      <c r="M68" s="168"/>
      <c r="N68" s="168"/>
      <c r="O68" s="163"/>
      <c r="P68" s="157"/>
      <c r="Q68" s="164"/>
      <c r="R68" s="164"/>
      <c r="S68" s="165"/>
      <c r="T68" s="165"/>
      <c r="U68" s="165"/>
      <c r="V68" s="165"/>
      <c r="W68" s="164"/>
      <c r="X68" s="37"/>
    </row>
    <row r="69" spans="1:24" s="75" customFormat="1" ht="18" customHeight="1" x14ac:dyDescent="0.25">
      <c r="A69" s="168"/>
      <c r="B69" s="168"/>
      <c r="C69" s="168"/>
      <c r="D69" s="168"/>
      <c r="E69" s="168"/>
      <c r="F69" s="172"/>
      <c r="G69" s="232"/>
      <c r="H69" s="168"/>
      <c r="I69" s="168"/>
      <c r="J69" s="164"/>
      <c r="K69" s="168"/>
      <c r="L69" s="168"/>
      <c r="M69" s="168"/>
      <c r="N69" s="168"/>
      <c r="O69" s="163"/>
      <c r="P69" s="157"/>
      <c r="Q69" s="164"/>
      <c r="R69" s="164"/>
      <c r="S69" s="165"/>
      <c r="T69" s="165"/>
      <c r="U69" s="165"/>
      <c r="V69" s="165"/>
      <c r="W69" s="164"/>
      <c r="X69" s="37"/>
    </row>
    <row r="70" spans="1:24" s="75" customFormat="1" ht="18" customHeight="1" x14ac:dyDescent="0.25">
      <c r="A70" s="168"/>
      <c r="B70" s="168"/>
      <c r="C70" s="168"/>
      <c r="D70" s="168"/>
      <c r="E70" s="168"/>
      <c r="F70" s="168"/>
      <c r="G70" s="168"/>
      <c r="H70" s="168"/>
      <c r="I70" s="164"/>
      <c r="J70" s="164"/>
      <c r="K70" s="168"/>
      <c r="L70" s="168"/>
      <c r="M70" s="168"/>
      <c r="N70" s="168"/>
      <c r="O70" s="168"/>
      <c r="P70" s="164"/>
      <c r="Q70" s="164"/>
      <c r="R70" s="164"/>
      <c r="S70" s="165"/>
      <c r="T70" s="165"/>
      <c r="U70" s="165"/>
      <c r="V70" s="165"/>
      <c r="W70" s="164"/>
      <c r="X70" s="37"/>
    </row>
    <row r="71" spans="1:24" s="75" customFormat="1" ht="18" customHeight="1" x14ac:dyDescent="0.25">
      <c r="A71" s="168"/>
      <c r="B71" s="168"/>
      <c r="C71" s="168"/>
      <c r="D71" s="168"/>
      <c r="E71" s="168"/>
      <c r="F71" s="168"/>
      <c r="G71" s="168"/>
      <c r="H71" s="168"/>
      <c r="I71" s="164"/>
      <c r="J71" s="164"/>
      <c r="K71" s="168"/>
      <c r="L71" s="168"/>
      <c r="M71" s="168"/>
      <c r="N71" s="168"/>
      <c r="O71" s="168"/>
      <c r="P71" s="164"/>
      <c r="Q71" s="164"/>
      <c r="R71" s="164"/>
      <c r="S71" s="165"/>
      <c r="T71" s="165"/>
      <c r="U71" s="165"/>
      <c r="V71" s="165"/>
      <c r="W71" s="164"/>
      <c r="X71" s="37"/>
    </row>
    <row r="72" spans="1:24" s="75" customFormat="1" ht="18" customHeight="1" x14ac:dyDescent="0.25">
      <c r="A72" s="168"/>
      <c r="B72" s="168"/>
      <c r="C72" s="168"/>
      <c r="D72" s="168"/>
      <c r="E72" s="168"/>
      <c r="F72" s="168"/>
      <c r="G72" s="168"/>
      <c r="H72" s="168"/>
      <c r="I72" s="164"/>
      <c r="J72" s="164"/>
      <c r="K72" s="168"/>
      <c r="L72" s="168"/>
      <c r="M72" s="168"/>
      <c r="N72" s="168"/>
      <c r="O72" s="168"/>
      <c r="P72" s="164"/>
      <c r="Q72" s="164"/>
      <c r="R72" s="164"/>
      <c r="S72" s="165"/>
      <c r="T72" s="165"/>
      <c r="U72" s="165"/>
      <c r="V72" s="165"/>
      <c r="W72" s="164"/>
      <c r="X72" s="37"/>
    </row>
    <row r="73" spans="1:24" s="75" customFormat="1" ht="18" customHeight="1" x14ac:dyDescent="0.25">
      <c r="A73" s="168"/>
      <c r="B73" s="168"/>
      <c r="C73" s="168"/>
      <c r="D73" s="168"/>
      <c r="E73" s="168"/>
      <c r="F73" s="168"/>
      <c r="G73" s="168"/>
      <c r="H73" s="168"/>
      <c r="I73" s="164"/>
      <c r="J73" s="164"/>
      <c r="K73" s="168"/>
      <c r="L73" s="168"/>
      <c r="M73" s="168"/>
      <c r="N73" s="168"/>
      <c r="O73" s="168"/>
      <c r="P73" s="164"/>
      <c r="Q73" s="164"/>
      <c r="R73" s="164"/>
      <c r="S73" s="165"/>
      <c r="T73" s="165"/>
      <c r="U73" s="165"/>
      <c r="V73" s="165"/>
      <c r="W73" s="164"/>
      <c r="X73" s="37"/>
    </row>
    <row r="74" spans="1:24" s="75" customFormat="1" ht="18" customHeight="1" x14ac:dyDescent="0.25">
      <c r="A74" s="168"/>
      <c r="B74" s="168"/>
      <c r="C74" s="168"/>
      <c r="D74" s="168"/>
      <c r="E74" s="168"/>
      <c r="F74" s="168"/>
      <c r="G74" s="168"/>
      <c r="H74" s="168"/>
      <c r="I74" s="164"/>
      <c r="J74" s="164"/>
      <c r="K74" s="168"/>
      <c r="L74" s="168"/>
      <c r="M74" s="168"/>
      <c r="N74" s="168"/>
      <c r="O74" s="168"/>
      <c r="P74" s="164"/>
      <c r="Q74" s="164"/>
      <c r="R74" s="164"/>
      <c r="S74" s="165"/>
      <c r="T74" s="165"/>
      <c r="U74" s="165"/>
      <c r="V74" s="165"/>
      <c r="W74" s="164"/>
      <c r="X74" s="37"/>
    </row>
    <row r="75" spans="1:24" ht="18" customHeight="1" x14ac:dyDescent="0.2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5"/>
      <c r="T75" s="165"/>
      <c r="U75" s="165"/>
      <c r="V75" s="165"/>
      <c r="W75" s="164"/>
      <c r="X75" s="37"/>
    </row>
    <row r="76" spans="1:24" ht="18" customHeight="1" x14ac:dyDescent="0.2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5"/>
      <c r="T76" s="165"/>
      <c r="U76" s="165"/>
      <c r="V76" s="165"/>
      <c r="W76" s="164"/>
      <c r="X76" s="37"/>
    </row>
    <row r="77" spans="1:24" ht="18" customHeight="1" x14ac:dyDescent="0.2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5"/>
      <c r="T77" s="165"/>
      <c r="U77" s="165"/>
      <c r="V77" s="165"/>
      <c r="W77" s="164"/>
      <c r="X77" s="37"/>
    </row>
    <row r="78" spans="1:24" ht="18" customHeight="1" x14ac:dyDescent="0.2">
      <c r="S78" s="64"/>
      <c r="W78" s="37"/>
    </row>
    <row r="79" spans="1:24" ht="18" customHeight="1" x14ac:dyDescent="0.2">
      <c r="S79" s="64"/>
      <c r="W79" s="37"/>
    </row>
    <row r="80" spans="1:24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</sheetData>
  <pageMargins left="0.6" right="0" top="0.3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  <rowBreaks count="1" manualBreakCount="1">
    <brk id="59" max="22" man="1"/>
  </rowBreaks>
  <ignoredErrors>
    <ignoredError sqref="A17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67"/>
  <sheetViews>
    <sheetView zoomScale="68" zoomScaleNormal="68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15" x14ac:dyDescent="0.2"/>
  <cols>
    <col min="1" max="1" width="17.7109375" style="37" customWidth="1"/>
    <col min="2" max="2" width="16.5703125" style="37" customWidth="1"/>
    <col min="3" max="3" width="18.7109375" style="37" customWidth="1"/>
    <col min="4" max="4" width="15.5703125" style="37" bestFit="1" customWidth="1"/>
    <col min="5" max="5" width="15.42578125" style="37" bestFit="1" customWidth="1"/>
    <col min="6" max="6" width="15.5703125" style="37" bestFit="1" customWidth="1"/>
    <col min="7" max="7" width="14.85546875" style="37" bestFit="1" customWidth="1"/>
    <col min="8" max="8" width="16.28515625" style="37" bestFit="1" customWidth="1"/>
    <col min="9" max="9" width="15.5703125" style="37" bestFit="1" customWidth="1"/>
    <col min="10" max="10" width="14.85546875" style="37" bestFit="1" customWidth="1"/>
    <col min="11" max="11" width="15.42578125" style="37" bestFit="1" customWidth="1"/>
    <col min="12" max="12" width="15.85546875" style="37" bestFit="1" customWidth="1"/>
    <col min="13" max="14" width="14.85546875" style="37" bestFit="1" customWidth="1"/>
    <col min="15" max="15" width="15.42578125" style="37" bestFit="1" customWidth="1"/>
    <col min="16" max="16" width="14.85546875" style="37" bestFit="1" customWidth="1"/>
    <col min="17" max="17" width="14.85546875" style="37" customWidth="1"/>
    <col min="18" max="18" width="13.5703125" style="37" customWidth="1"/>
    <col min="19" max="19" width="13.140625" style="37" bestFit="1" customWidth="1"/>
    <col min="20" max="20" width="19.140625" style="64" customWidth="1"/>
    <col min="21" max="21" width="14.5703125" style="64" customWidth="1"/>
    <col min="22" max="22" width="14" style="64" customWidth="1"/>
    <col min="23" max="23" width="16.5703125" style="64" customWidth="1"/>
    <col min="24" max="24" width="16.7109375" bestFit="1" customWidth="1"/>
    <col min="16384" max="16384" width="19.140625" customWidth="1"/>
  </cols>
  <sheetData>
    <row r="1" spans="1:25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5" s="1" customFormat="1" ht="18" customHeight="1" x14ac:dyDescent="0.25">
      <c r="A2" s="47" t="s">
        <v>2</v>
      </c>
      <c r="B2" s="49" t="s">
        <v>3</v>
      </c>
      <c r="C2" s="47" t="s">
        <v>4</v>
      </c>
      <c r="D2" s="47"/>
      <c r="E2" s="47"/>
      <c r="F2" s="47"/>
      <c r="G2" s="47"/>
      <c r="H2" s="47"/>
      <c r="I2" s="47"/>
      <c r="J2" s="133" t="s">
        <v>137</v>
      </c>
      <c r="K2" s="47"/>
      <c r="L2" s="47"/>
      <c r="M2" s="47"/>
      <c r="N2" s="47"/>
      <c r="O2" s="47"/>
      <c r="P2" s="47"/>
      <c r="Q2" s="47"/>
      <c r="R2" s="47"/>
      <c r="S2" s="47"/>
      <c r="T2" s="48"/>
      <c r="U2" s="48"/>
      <c r="V2" s="48"/>
      <c r="W2" s="48"/>
      <c r="X2" s="2" t="s">
        <v>5</v>
      </c>
    </row>
    <row r="3" spans="1:25" s="1" customFormat="1" ht="18" customHeight="1" x14ac:dyDescent="0.25">
      <c r="A3" s="47" t="s">
        <v>6</v>
      </c>
      <c r="B3" s="49" t="s">
        <v>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  <c r="U3" s="50" t="s">
        <v>8</v>
      </c>
      <c r="V3" s="100">
        <f>COUNTIF(D6:R6,X2)/12</f>
        <v>8.3333333333333329E-2</v>
      </c>
      <c r="W3" s="48"/>
    </row>
    <row r="4" spans="1:25" s="1" customFormat="1" ht="18" customHeight="1" x14ac:dyDescent="0.25">
      <c r="A4" s="47" t="s">
        <v>9</v>
      </c>
      <c r="B4" s="47" t="s">
        <v>96</v>
      </c>
      <c r="C4" s="47" t="s">
        <v>10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5" s="1" customFormat="1" ht="31.5" x14ac:dyDescent="0.25">
      <c r="A5" s="51" t="s">
        <v>11</v>
      </c>
      <c r="B5" s="51" t="s">
        <v>12</v>
      </c>
      <c r="C5" s="51"/>
      <c r="D5" s="52" t="s">
        <v>13</v>
      </c>
      <c r="E5" s="52" t="s">
        <v>14</v>
      </c>
      <c r="F5" s="52" t="s">
        <v>15</v>
      </c>
      <c r="G5" s="52" t="s">
        <v>16</v>
      </c>
      <c r="H5" s="52" t="s">
        <v>17</v>
      </c>
      <c r="I5" s="52" t="s">
        <v>18</v>
      </c>
      <c r="J5" s="52" t="s">
        <v>19</v>
      </c>
      <c r="K5" s="52" t="s">
        <v>20</v>
      </c>
      <c r="L5" s="52" t="s">
        <v>21</v>
      </c>
      <c r="M5" s="52" t="s">
        <v>22</v>
      </c>
      <c r="N5" s="52" t="s">
        <v>23</v>
      </c>
      <c r="O5" s="52" t="s">
        <v>24</v>
      </c>
      <c r="P5" s="52" t="s">
        <v>25</v>
      </c>
      <c r="Q5" s="52" t="s">
        <v>26</v>
      </c>
      <c r="R5" s="52" t="s">
        <v>27</v>
      </c>
      <c r="S5" s="52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5" s="1" customFormat="1" ht="31.5" x14ac:dyDescent="0.25">
      <c r="A6" s="51"/>
      <c r="B6" s="51"/>
      <c r="C6" s="51"/>
      <c r="D6" s="54" t="s">
        <v>5</v>
      </c>
      <c r="E6" s="54" t="s">
        <v>1</v>
      </c>
      <c r="F6" s="54" t="s">
        <v>1</v>
      </c>
      <c r="G6" s="54" t="s">
        <v>1</v>
      </c>
      <c r="H6" s="54" t="s">
        <v>1</v>
      </c>
      <c r="I6" s="54" t="s">
        <v>1</v>
      </c>
      <c r="J6" s="54" t="s">
        <v>1</v>
      </c>
      <c r="K6" s="54" t="s">
        <v>1</v>
      </c>
      <c r="L6" s="54" t="s">
        <v>1</v>
      </c>
      <c r="M6" s="54" t="s">
        <v>1</v>
      </c>
      <c r="N6" s="54" t="s">
        <v>1</v>
      </c>
      <c r="O6" s="54" t="s">
        <v>1</v>
      </c>
      <c r="P6" s="54" t="s">
        <v>1</v>
      </c>
      <c r="Q6" s="54" t="s">
        <v>1</v>
      </c>
      <c r="R6" s="54" t="s">
        <v>1</v>
      </c>
      <c r="S6" s="54" t="s">
        <v>5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5" s="1" customFormat="1" ht="18" customHeight="1" x14ac:dyDescent="0.25">
      <c r="A7" s="56"/>
      <c r="B7" s="56"/>
      <c r="C7" s="56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62"/>
      <c r="U7" s="62"/>
      <c r="V7" s="62"/>
      <c r="W7" s="62"/>
      <c r="Y7" s="3"/>
    </row>
    <row r="8" spans="1:25" s="4" customFormat="1" ht="18" customHeight="1" x14ac:dyDescent="0.25">
      <c r="A8" s="56"/>
      <c r="B8" s="57" t="s">
        <v>36</v>
      </c>
      <c r="C8" s="49"/>
      <c r="D8" s="235">
        <f>+'Blank Template'!D8+'2217 Teachers Certs Clearing'!D8+'9397 BOEE'!D8</f>
        <v>100000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U8" s="60"/>
      <c r="V8" s="62"/>
      <c r="W8" s="62"/>
    </row>
    <row r="9" spans="1:25" s="4" customFormat="1" ht="17.25" customHeight="1" x14ac:dyDescent="0.25">
      <c r="A9" s="56"/>
      <c r="B9" s="57" t="s">
        <v>107</v>
      </c>
      <c r="C9" s="49"/>
      <c r="D9" s="236">
        <f>+'Blank Template'!D9+'2217 Teachers Certs Clearing'!D9+'9397 BOEE'!D9</f>
        <v>0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  <c r="U9" s="60"/>
      <c r="V9" s="62"/>
      <c r="W9" s="62"/>
    </row>
    <row r="10" spans="1:25" s="1" customFormat="1" ht="18" customHeight="1" x14ac:dyDescent="0.25">
      <c r="A10" s="49" t="s">
        <v>37</v>
      </c>
      <c r="B10" s="49"/>
      <c r="C10" s="4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  <c r="U10" s="60"/>
      <c r="V10" s="62"/>
      <c r="W10" s="62"/>
    </row>
    <row r="11" spans="1:25" s="1" customFormat="1" ht="18" customHeight="1" x14ac:dyDescent="0.2">
      <c r="A11" s="57"/>
      <c r="B11" s="57"/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70"/>
      <c r="U11" s="58"/>
      <c r="V11" s="71"/>
      <c r="W11" s="71"/>
    </row>
    <row r="12" spans="1:25" s="1" customFormat="1" ht="18" customHeight="1" x14ac:dyDescent="0.2">
      <c r="A12" s="57" t="s">
        <v>109</v>
      </c>
      <c r="B12" s="57" t="s">
        <v>110</v>
      </c>
      <c r="C12" s="57"/>
      <c r="D12" s="58">
        <f>SUMIFS('9397 BOEE'!D$7:D$559,'9397 BOEE'!$B$7:$B$559,$B12,'9397 BOEE'!$A$7:$A$559,$A12)+SUMIFS('2217 Teachers Certs Clearing'!D$7:D$518,'2217 Teachers Certs Clearing'!$B$7:$B$518,$B12,'2217 Teachers Certs Clearing'!$A$7:$A$518,$A12)+SUMIFS('Blank Template'!D$7:D$520,'Blank Template'!$B$7:$B$520,$B12,'Blank Template'!$A$7:$A$520,$A12)</f>
        <v>0</v>
      </c>
      <c r="E12" s="58">
        <f>SUMIFS('9397 BOEE'!E$7:E$559,'9397 BOEE'!$B$7:$B$559,$B12,'9397 BOEE'!$A$7:$A$559,$A12)+SUMIFS('2217 Teachers Certs Clearing'!E$7:E$518,'2217 Teachers Certs Clearing'!$B$7:$B$518,$B12,'2217 Teachers Certs Clearing'!$A$7:$A$518,$A12)+SUMIFS('Blank Template'!E$7:E$520,'Blank Template'!$B$7:$B$520,$B12,'Blank Template'!$A$7:$A$520,$A12)</f>
        <v>98.75</v>
      </c>
      <c r="F12" s="58">
        <f>SUMIFS('9397 BOEE'!F$7:F$559,'9397 BOEE'!$B$7:$B$559,$B12,'9397 BOEE'!$A$7:$A$559,$A12)+SUMIFS('2217 Teachers Certs Clearing'!F$7:F$518,'2217 Teachers Certs Clearing'!$B$7:$B$518,$B12,'2217 Teachers Certs Clearing'!$A$7:$A$518,$A12)+SUMIFS('Blank Template'!F$7:F$520,'Blank Template'!$B$7:$B$520,$B12,'Blank Template'!$A$7:$A$520,$A12)</f>
        <v>0</v>
      </c>
      <c r="G12" s="58">
        <f>SUMIFS('9397 BOEE'!G$7:G$559,'9397 BOEE'!$B$7:$B$559,$B12,'9397 BOEE'!$A$7:$A$559,$A12)+SUMIFS('2217 Teachers Certs Clearing'!G$7:G$518,'2217 Teachers Certs Clearing'!$B$7:$B$518,$B12,'2217 Teachers Certs Clearing'!$A$7:$A$518,$A12)+SUMIFS('Blank Template'!G$7:G$520,'Blank Template'!$B$7:$B$520,$B12,'Blank Template'!$A$7:$A$520,$A12)</f>
        <v>0</v>
      </c>
      <c r="H12" s="58">
        <f>SUMIFS('9397 BOEE'!H$7:H$559,'9397 BOEE'!$B$7:$B$559,$B12,'9397 BOEE'!$A$7:$A$559,$A12)+SUMIFS('2217 Teachers Certs Clearing'!H$7:H$518,'2217 Teachers Certs Clearing'!$B$7:$B$518,$B12,'2217 Teachers Certs Clearing'!$A$7:$A$518,$A12)+SUMIFS('Blank Template'!H$7:H$520,'Blank Template'!$B$7:$B$520,$B12,'Blank Template'!$A$7:$A$520,$A12)</f>
        <v>0</v>
      </c>
      <c r="I12" s="58">
        <f>SUMIFS('9397 BOEE'!I$7:I$559,'9397 BOEE'!$B$7:$B$559,$B12,'9397 BOEE'!$A$7:$A$559,$A12)+SUMIFS('2217 Teachers Certs Clearing'!I$7:I$518,'2217 Teachers Certs Clearing'!$B$7:$B$518,$B12,'2217 Teachers Certs Clearing'!$A$7:$A$518,$A12)+SUMIFS('Blank Template'!I$7:I$520,'Blank Template'!$B$7:$B$520,$B12,'Blank Template'!$A$7:$A$520,$A12)</f>
        <v>0</v>
      </c>
      <c r="J12" s="58">
        <f>SUMIFS('9397 BOEE'!J$7:J$559,'9397 BOEE'!$B$7:$B$559,$B12,'9397 BOEE'!$A$7:$A$559,$A12)+SUMIFS('2217 Teachers Certs Clearing'!J$7:J$518,'2217 Teachers Certs Clearing'!$B$7:$B$518,$B12,'2217 Teachers Certs Clearing'!$A$7:$A$518,$A12)+SUMIFS('Blank Template'!J$7:J$520,'Blank Template'!$B$7:$B$520,$B12,'Blank Template'!$A$7:$A$520,$A12)</f>
        <v>0</v>
      </c>
      <c r="K12" s="58">
        <f>SUMIFS('9397 BOEE'!K$7:K$559,'9397 BOEE'!$B$7:$B$559,$B12,'9397 BOEE'!$A$7:$A$559,$A12)+SUMIFS('2217 Teachers Certs Clearing'!K$7:K$518,'2217 Teachers Certs Clearing'!$B$7:$B$518,$B12,'2217 Teachers Certs Clearing'!$A$7:$A$518,$A12)+SUMIFS('Blank Template'!K$7:K$520,'Blank Template'!$B$7:$B$520,$B12,'Blank Template'!$A$7:$A$520,$A12)</f>
        <v>0</v>
      </c>
      <c r="L12" s="58">
        <f>SUMIFS('9397 BOEE'!L$7:L$559,'9397 BOEE'!$B$7:$B$559,$B12,'9397 BOEE'!$A$7:$A$559,$A12)+SUMIFS('2217 Teachers Certs Clearing'!L$7:L$518,'2217 Teachers Certs Clearing'!$B$7:$B$518,$B12,'2217 Teachers Certs Clearing'!$A$7:$A$518,$A12)+SUMIFS('Blank Template'!L$7:L$520,'Blank Template'!$B$7:$B$520,$B12,'Blank Template'!$A$7:$A$520,$A12)</f>
        <v>0</v>
      </c>
      <c r="M12" s="58" t="e">
        <f>SUMIFS('9397 BOEE'!M$7:M$560,'9397 BOEE'!$B$7:$B$559,$B12,'9397 BOEE'!$A$7:$A$559,$A12)+SUMIFS('2217 Teachers Certs Clearing'!M$7:M$518,'2217 Teachers Certs Clearing'!$B$7:$B$518,$B12,'2217 Teachers Certs Clearing'!$A$7:$A$518,$A12)+SUMIFS('Blank Template'!M$7:M$520,'Blank Template'!$B$7:$B$520,$B12,'Blank Template'!$A$7:$A$520,$A12)</f>
        <v>#VALUE!</v>
      </c>
      <c r="N12" s="58" t="e">
        <f>SUMIFS('9397 BOEE'!N$7:N$560,'9397 BOEE'!$B$7:$B$559,$B12,'9397 BOEE'!$A$7:$A$559,$A12)+SUMIFS('2217 Teachers Certs Clearing'!N$7:N$518,'2217 Teachers Certs Clearing'!$B$7:$B$518,$B12,'2217 Teachers Certs Clearing'!$A$7:$A$518,$A12)+SUMIFS('Blank Template'!N$7:N$520,'Blank Template'!$B$7:$B$520,$B12,'Blank Template'!$A$7:$A$520,$A12)</f>
        <v>#VALUE!</v>
      </c>
      <c r="O12" s="58" t="e">
        <f>SUMIFS('9397 BOEE'!O$7:O$560,'9397 BOEE'!$B$7:$B$559,$B12,'9397 BOEE'!$A$7:$A$559,$A12)+SUMIFS('2217 Teachers Certs Clearing'!O$7:O$518,'2217 Teachers Certs Clearing'!$B$7:$B$518,$B12,'2217 Teachers Certs Clearing'!$A$7:$A$518,$A12)+SUMIFS('Blank Template'!O$7:O$520,'Blank Template'!$B$7:$B$520,$B12,'Blank Template'!$A$7:$A$520,$A12)</f>
        <v>#VALUE!</v>
      </c>
      <c r="P12" s="58">
        <f>SUMIFS('9397 BOEE'!P$7:P$559,'9397 BOEE'!$B$7:$B$559,$B12,'9397 BOEE'!$A$7:$A$559,$A12)+SUMIFS('2217 Teachers Certs Clearing'!P$7:P$518,'2217 Teachers Certs Clearing'!$B$7:$B$518,$B12,'2217 Teachers Certs Clearing'!$A$7:$A$518,$A12)+SUMIFS('Blank Template'!P$7:P$520,'Blank Template'!$B$7:$B$520,$B12,'Blank Template'!$A$7:$A$520,$A12)</f>
        <v>0</v>
      </c>
      <c r="Q12" s="58">
        <f>SUMIFS('9397 BOEE'!Q$7:Q$559,'9397 BOEE'!$B$7:$B$559,$B12,'9397 BOEE'!$A$7:$A$559,$A12)+SUMIFS('2217 Teachers Certs Clearing'!Q$7:Q$518,'2217 Teachers Certs Clearing'!$B$7:$B$518,$B12,'2217 Teachers Certs Clearing'!$A$7:$A$518,$A12)+SUMIFS('Blank Template'!Q$7:Q$520,'Blank Template'!$B$7:$B$520,$B12,'Blank Template'!$A$7:$A$520,$A12)</f>
        <v>0</v>
      </c>
      <c r="R12" s="58">
        <f>SUMIFS('9397 BOEE'!R$7:R$559,'9397 BOEE'!$B$7:$B$559,$B12,'9397 BOEE'!$A$7:$A$559,$A12)+SUMIFS('2217 Teachers Certs Clearing'!R$7:R$518,'2217 Teachers Certs Clearing'!$B$7:$B$518,$B12,'2217 Teachers Certs Clearing'!$A$7:$A$518,$A12)+SUMIFS('Blank Template'!R$7:R$520,'Blank Template'!$B$7:$B$520,$B12,'Blank Template'!$A$7:$A$520,$A12)</f>
        <v>0</v>
      </c>
      <c r="S12" s="58">
        <f>SUMIFS('9397 BOEE'!S$7:S$559,'9397 BOEE'!$B$7:$B$559,$B12,'9397 BOEE'!$A$7:$A$559,$A12)+SUMIFS('2217 Teachers Certs Clearing'!S$7:S$518,'2217 Teachers Certs Clearing'!$B$7:$B$518,$B12,'2217 Teachers Certs Clearing'!$A$7:$A$518,$A12)+SUMIFS('Blank Template'!S$7:S$520,'Blank Template'!$B$7:$B$520,$B12,'Blank Template'!$A$7:$A$520,$A12)</f>
        <v>98.75</v>
      </c>
      <c r="T12" s="70" t="e">
        <f t="shared" ref="T12" si="0">SUM(D12:R12)</f>
        <v>#VALUE!</v>
      </c>
      <c r="U12" s="58">
        <f>SUMIFS('9397 BOEE'!U$7:U$559,'9397 BOEE'!$B$7:$B$559,$B12,'9397 BOEE'!$A$7:$A$559,$A12)+SUMIFS('2217 Teachers Certs Clearing'!U$7:U$518,'2217 Teachers Certs Clearing'!$B$7:$B$518,$B12,'2217 Teachers Certs Clearing'!$A$7:$A$518,$A12)+SUMIFS('Blank Template'!U$7:U$520,'Blank Template'!$B$7:$B$520,$B12,'Blank Template'!$A$7:$A$520,$A12)</f>
        <v>6000</v>
      </c>
      <c r="V12" s="71">
        <f t="shared" ref="V12:V14" si="1">IF(U12=0,0,SUMIF($D$6:$R$6,$X$2,D12:R12)/U12)</f>
        <v>0</v>
      </c>
      <c r="W12" s="71" t="e">
        <f t="shared" ref="W12:W14" si="2">IF(U12=0,0,T12/U12)</f>
        <v>#VALUE!</v>
      </c>
    </row>
    <row r="13" spans="1:25" s="1" customFormat="1" ht="18" customHeight="1" x14ac:dyDescent="0.2">
      <c r="A13" s="57" t="s">
        <v>58</v>
      </c>
      <c r="B13" s="57" t="s">
        <v>138</v>
      </c>
      <c r="C13" s="57"/>
      <c r="D13" s="58">
        <f>SUMIFS('9397 BOEE'!D$7:D$559,'9397 BOEE'!$B$7:$B$559,$B13,'9397 BOEE'!$A$7:$A$559,$A13)+SUMIFS('2217 Teachers Certs Clearing'!D$7:D$518,'2217 Teachers Certs Clearing'!$B$7:$B$518,$B13,'2217 Teachers Certs Clearing'!$A$7:$A$518,$A13)+SUMIFS('Blank Template'!D$7:D$520,'Blank Template'!$B$7:$B$520,$B13,'Blank Template'!$A$7:$A$520,$A13)</f>
        <v>174861.75</v>
      </c>
      <c r="E13" s="58">
        <f>SUMIFS('9397 BOEE'!E$7:E$559,'9397 BOEE'!$B$7:$B$559,$B13,'9397 BOEE'!$A$7:$A$559,$A13)+SUMIFS('2217 Teachers Certs Clearing'!E$7:E$518,'2217 Teachers Certs Clearing'!$B$7:$B$518,$B13,'2217 Teachers Certs Clearing'!$A$7:$A$518,$A13)+SUMIFS('Blank Template'!E$7:E$520,'Blank Template'!$B$7:$B$520,$B13,'Blank Template'!$A$7:$A$520,$A13)</f>
        <v>205578</v>
      </c>
      <c r="F13" s="58">
        <f>SUMIFS('9397 BOEE'!F$7:F$559,'9397 BOEE'!$B$7:$B$559,$B13,'9397 BOEE'!$A$7:$A$559,$A13)+SUMIFS('2217 Teachers Certs Clearing'!F$7:F$518,'2217 Teachers Certs Clearing'!$B$7:$B$518,$B13,'2217 Teachers Certs Clearing'!$A$7:$A$518,$A13)+SUMIFS('Blank Template'!F$7:F$520,'Blank Template'!$B$7:$B$520,$B13,'Blank Template'!$A$7:$A$520,$A13)</f>
        <v>117549.75</v>
      </c>
      <c r="G13" s="58">
        <f>SUMIFS('9397 BOEE'!G$7:G$559,'9397 BOEE'!$B$7:$B$559,$B13,'9397 BOEE'!$A$7:$A$559,$A13)+SUMIFS('2217 Teachers Certs Clearing'!G$7:G$518,'2217 Teachers Certs Clearing'!$B$7:$B$518,$B13,'2217 Teachers Certs Clearing'!$A$7:$A$518,$A13)+SUMIFS('Blank Template'!G$7:G$520,'Blank Template'!$B$7:$B$520,$B13,'Blank Template'!$A$7:$A$520,$A13)</f>
        <v>125126.25</v>
      </c>
      <c r="H13" s="58">
        <f>SUMIFS('9397 BOEE'!H$7:H$559,'9397 BOEE'!$B$7:$B$559,$B13,'9397 BOEE'!$A$7:$A$559,$A13)+SUMIFS('2217 Teachers Certs Clearing'!H$7:H$518,'2217 Teachers Certs Clearing'!$B$7:$B$518,$B13,'2217 Teachers Certs Clearing'!$A$7:$A$518,$A13)+SUMIFS('Blank Template'!H$7:H$520,'Blank Template'!$B$7:$B$520,$B13,'Blank Template'!$A$7:$A$520,$A13)</f>
        <v>97761.75</v>
      </c>
      <c r="I13" s="58">
        <f>SUMIFS('9397 BOEE'!I$7:I$559,'9397 BOEE'!$B$7:$B$559,$B13,'9397 BOEE'!$A$7:$A$559,$A13)+SUMIFS('2217 Teachers Certs Clearing'!I$7:I$518,'2217 Teachers Certs Clearing'!$B$7:$B$518,$B13,'2217 Teachers Certs Clearing'!$A$7:$A$518,$A13)+SUMIFS('Blank Template'!I$7:I$520,'Blank Template'!$B$7:$B$520,$B13,'Blank Template'!$A$7:$A$520,$A13)</f>
        <v>103017.75</v>
      </c>
      <c r="J13" s="58">
        <f>SUMIFS('9397 BOEE'!J$7:J$559,'9397 BOEE'!$B$7:$B$559,$B13,'9397 BOEE'!$A$7:$A$559,$A13)+SUMIFS('2217 Teachers Certs Clearing'!J$7:J$518,'2217 Teachers Certs Clearing'!$B$7:$B$518,$B13,'2217 Teachers Certs Clearing'!$A$7:$A$518,$A13)+SUMIFS('Blank Template'!J$7:J$520,'Blank Template'!$B$7:$B$520,$B13,'Blank Template'!$A$7:$A$520,$A13)</f>
        <v>149394.75</v>
      </c>
      <c r="K13" s="58">
        <f>SUMIFS('9397 BOEE'!K$7:K$559,'9397 BOEE'!$B$7:$B$559,$B13,'9397 BOEE'!$A$7:$A$559,$A13)+SUMIFS('2217 Teachers Certs Clearing'!K$7:K$518,'2217 Teachers Certs Clearing'!$B$7:$B$518,$B13,'2217 Teachers Certs Clearing'!$A$7:$A$518,$A13)+SUMIFS('Blank Template'!K$7:K$520,'Blank Template'!$B$7:$B$520,$B13,'Blank Template'!$A$7:$A$520,$A13)</f>
        <v>123095.25</v>
      </c>
      <c r="L13" s="58">
        <f>SUMIFS('9397 BOEE'!L$7:L$559,'9397 BOEE'!$B$7:$B$559,$B13,'9397 BOEE'!$A$7:$A$559,$A13)+SUMIFS('2217 Teachers Certs Clearing'!L$7:L$518,'2217 Teachers Certs Clearing'!$B$7:$B$518,$B13,'2217 Teachers Certs Clearing'!$A$7:$A$518,$A13)+SUMIFS('Blank Template'!L$7:L$520,'Blank Template'!$B$7:$B$520,$B13,'Blank Template'!$A$7:$A$520,$A13)</f>
        <v>114000</v>
      </c>
      <c r="M13" s="58" t="e">
        <f>SUMIFS('9397 BOEE'!M$7:M$560,'9397 BOEE'!$B$7:$B$559,$B13,'9397 BOEE'!$A$7:$A$559,$A13)+SUMIFS('2217 Teachers Certs Clearing'!M$7:M$518,'2217 Teachers Certs Clearing'!$B$7:$B$518,$B13,'2217 Teachers Certs Clearing'!$A$7:$A$518,$A13)+SUMIFS('Blank Template'!M$7:M$520,'Blank Template'!$B$7:$B$520,$B13,'Blank Template'!$A$7:$A$520,$A13)</f>
        <v>#VALUE!</v>
      </c>
      <c r="N13" s="58" t="e">
        <f>SUMIFS('9397 BOEE'!N$7:N$560,'9397 BOEE'!$B$7:$B$559,$B13,'9397 BOEE'!$A$7:$A$559,$A13)+SUMIFS('2217 Teachers Certs Clearing'!N$7:N$518,'2217 Teachers Certs Clearing'!$B$7:$B$518,$B13,'2217 Teachers Certs Clearing'!$A$7:$A$518,$A13)+SUMIFS('Blank Template'!N$7:N$520,'Blank Template'!$B$7:$B$520,$B13,'Blank Template'!$A$7:$A$520,$A13)</f>
        <v>#VALUE!</v>
      </c>
      <c r="O13" s="58" t="e">
        <f>SUMIFS('9397 BOEE'!O$7:O$560,'9397 BOEE'!$B$7:$B$559,$B13,'9397 BOEE'!$A$7:$A$559,$A13)+SUMIFS('2217 Teachers Certs Clearing'!O$7:O$518,'2217 Teachers Certs Clearing'!$B$7:$B$518,$B13,'2217 Teachers Certs Clearing'!$A$7:$A$518,$A13)+SUMIFS('Blank Template'!O$7:O$520,'Blank Template'!$B$7:$B$520,$B13,'Blank Template'!$A$7:$A$520,$A13)</f>
        <v>#VALUE!</v>
      </c>
      <c r="P13" s="58">
        <f>SUMIFS('9397 BOEE'!P$7:P$559,'9397 BOEE'!$B$7:$B$559,$B13,'9397 BOEE'!$A$7:$A$559,$A13)+SUMIFS('2217 Teachers Certs Clearing'!P$7:P$518,'2217 Teachers Certs Clearing'!$B$7:$B$518,$B13,'2217 Teachers Certs Clearing'!$A$7:$A$518,$A13)+SUMIFS('Blank Template'!P$7:P$520,'Blank Template'!$B$7:$B$520,$B13,'Blank Template'!$A$7:$A$520,$A13)</f>
        <v>0</v>
      </c>
      <c r="Q13" s="58">
        <f>SUMIFS('9397 BOEE'!Q$7:Q$559,'9397 BOEE'!$B$7:$B$559,$B13,'9397 BOEE'!$A$7:$A$559,$A13)+SUMIFS('2217 Teachers Certs Clearing'!Q$7:Q$518,'2217 Teachers Certs Clearing'!$B$7:$B$518,$B13,'2217 Teachers Certs Clearing'!$A$7:$A$518,$A13)+SUMIFS('Blank Template'!Q$7:Q$520,'Blank Template'!$B$7:$B$520,$B13,'Blank Template'!$A$7:$A$520,$A13)</f>
        <v>0</v>
      </c>
      <c r="R13" s="58">
        <f>SUMIFS('9397 BOEE'!R$7:R$559,'9397 BOEE'!$B$7:$B$559,$B13,'9397 BOEE'!$A$7:$A$559,$A13)+SUMIFS('2217 Teachers Certs Clearing'!R$7:R$518,'2217 Teachers Certs Clearing'!$B$7:$B$518,$B13,'2217 Teachers Certs Clearing'!$A$7:$A$518,$A13)+SUMIFS('Blank Template'!R$7:R$520,'Blank Template'!$B$7:$B$520,$B13,'Blank Template'!$A$7:$A$520,$A13)</f>
        <v>0</v>
      </c>
      <c r="S13" s="58">
        <f>SUMIFS('9397 BOEE'!S$7:S$559,'9397 BOEE'!$B$7:$B$559,$B13,'9397 BOEE'!$A$7:$A$559,$A13)+SUMIFS('2217 Teachers Certs Clearing'!S$7:S$518,'2217 Teachers Certs Clearing'!$B$7:$B$518,$B13,'2217 Teachers Certs Clearing'!$A$7:$A$518,$A13)+SUMIFS('Blank Template'!S$7:S$520,'Blank Template'!$B$7:$B$520,$B13,'Blank Template'!$A$7:$A$520,$A13)</f>
        <v>1096385.25</v>
      </c>
      <c r="T13" s="70" t="e">
        <f t="shared" ref="T13:T14" si="3">SUM(D13:R13)</f>
        <v>#VALUE!</v>
      </c>
      <c r="U13" s="58">
        <f>SUMIFS('9397 BOEE'!U$7:U$559,'9397 BOEE'!$B$7:$B$559,$B13,'9397 BOEE'!$A$7:$A$559,$A13)+SUMIFS('2217 Teachers Certs Clearing'!U$7:U$518,'2217 Teachers Certs Clearing'!$B$7:$B$518,$B13,'2217 Teachers Certs Clearing'!$A$7:$A$518,$A13)+SUMIFS('Blank Template'!U$7:U$520,'Blank Template'!$B$7:$B$520,$B13,'Blank Template'!$A$7:$A$520,$A13)</f>
        <v>1800000</v>
      </c>
      <c r="V13" s="71">
        <f t="shared" si="1"/>
        <v>9.7145416666666665E-2</v>
      </c>
      <c r="W13" s="71" t="e">
        <f t="shared" si="2"/>
        <v>#VALUE!</v>
      </c>
    </row>
    <row r="14" spans="1:25" s="1" customFormat="1" ht="18" customHeight="1" x14ac:dyDescent="0.2">
      <c r="A14" s="57" t="s">
        <v>40</v>
      </c>
      <c r="B14" s="57" t="s">
        <v>41</v>
      </c>
      <c r="C14" s="57"/>
      <c r="D14" s="58">
        <f>SUMIFS('9397 BOEE'!D$7:D$559,'9397 BOEE'!$B$7:$B$559,$B14,'9397 BOEE'!$A$7:$A$559,$A14)+SUMIFS('2217 Teachers Certs Clearing'!D$7:D$518,'2217 Teachers Certs Clearing'!$B$7:$B$518,$B14,'2217 Teachers Certs Clearing'!$A$7:$A$518,$A14)+SUMIFS('Blank Template'!D$7:D$520,'Blank Template'!$B$7:$B$520,$B14,'Blank Template'!$A$7:$A$520,$A14)</f>
        <v>0</v>
      </c>
      <c r="E14" s="58">
        <f>SUMIFS('9397 BOEE'!E$7:E$559,'9397 BOEE'!$B$7:$B$559,$B14,'9397 BOEE'!$A$7:$A$559,$A14)+SUMIFS('2217 Teachers Certs Clearing'!E$7:E$518,'2217 Teachers Certs Clearing'!$B$7:$B$518,$B14,'2217 Teachers Certs Clearing'!$A$7:$A$518,$A14)+SUMIFS('Blank Template'!E$7:E$520,'Blank Template'!$B$7:$B$520,$B14,'Blank Template'!$A$7:$A$520,$A14)</f>
        <v>0</v>
      </c>
      <c r="F14" s="58">
        <f>SUMIFS('9397 BOEE'!F$7:F$559,'9397 BOEE'!$B$7:$B$559,$B14,'9397 BOEE'!$A$7:$A$559,$A14)+SUMIFS('2217 Teachers Certs Clearing'!F$7:F$518,'2217 Teachers Certs Clearing'!$B$7:$B$518,$B14,'2217 Teachers Certs Clearing'!$A$7:$A$518,$A14)+SUMIFS('Blank Template'!F$7:F$520,'Blank Template'!$B$7:$B$520,$B14,'Blank Template'!$A$7:$A$520,$A14)</f>
        <v>0</v>
      </c>
      <c r="G14" s="58">
        <f>SUMIFS('9397 BOEE'!G$7:G$559,'9397 BOEE'!$B$7:$B$559,$B14,'9397 BOEE'!$A$7:$A$559,$A14)+SUMIFS('2217 Teachers Certs Clearing'!G$7:G$518,'2217 Teachers Certs Clearing'!$B$7:$B$518,$B14,'2217 Teachers Certs Clearing'!$A$7:$A$518,$A14)+SUMIFS('Blank Template'!G$7:G$520,'Blank Template'!$B$7:$B$520,$B14,'Blank Template'!$A$7:$A$520,$A14)</f>
        <v>0</v>
      </c>
      <c r="H14" s="58">
        <f>SUMIFS('9397 BOEE'!H$7:H$559,'9397 BOEE'!$B$7:$B$559,$B14,'9397 BOEE'!$A$7:$A$559,$A14)+SUMIFS('2217 Teachers Certs Clearing'!H$7:H$518,'2217 Teachers Certs Clearing'!$B$7:$B$518,$B14,'2217 Teachers Certs Clearing'!$A$7:$A$518,$A14)+SUMIFS('Blank Template'!H$7:H$520,'Blank Template'!$B$7:$B$520,$B14,'Blank Template'!$A$7:$A$520,$A14)</f>
        <v>0</v>
      </c>
      <c r="I14" s="58">
        <f>SUMIFS('9397 BOEE'!I$7:I$559,'9397 BOEE'!$B$7:$B$559,$B14,'9397 BOEE'!$A$7:$A$559,$A14)+SUMIFS('2217 Teachers Certs Clearing'!I$7:I$518,'2217 Teachers Certs Clearing'!$B$7:$B$518,$B14,'2217 Teachers Certs Clearing'!$A$7:$A$518,$A14)+SUMIFS('Blank Template'!I$7:I$520,'Blank Template'!$B$7:$B$520,$B14,'Blank Template'!$A$7:$A$520,$A14)</f>
        <v>0</v>
      </c>
      <c r="J14" s="58">
        <f>SUMIFS('9397 BOEE'!J$7:J$559,'9397 BOEE'!$B$7:$B$559,$B14,'9397 BOEE'!$A$7:$A$559,$A14)+SUMIFS('2217 Teachers Certs Clearing'!J$7:J$518,'2217 Teachers Certs Clearing'!$B$7:$B$518,$B14,'2217 Teachers Certs Clearing'!$A$7:$A$518,$A14)+SUMIFS('Blank Template'!J$7:J$520,'Blank Template'!$B$7:$B$520,$B14,'Blank Template'!$A$7:$A$520,$A14)</f>
        <v>0</v>
      </c>
      <c r="K14" s="58">
        <f>SUMIFS('9397 BOEE'!K$7:K$559,'9397 BOEE'!$B$7:$B$559,$B14,'9397 BOEE'!$A$7:$A$559,$A14)+SUMIFS('2217 Teachers Certs Clearing'!K$7:K$518,'2217 Teachers Certs Clearing'!$B$7:$B$518,$B14,'2217 Teachers Certs Clearing'!$A$7:$A$518,$A14)+SUMIFS('Blank Template'!K$7:K$520,'Blank Template'!$B$7:$B$520,$B14,'Blank Template'!$A$7:$A$520,$A14)</f>
        <v>0</v>
      </c>
      <c r="L14" s="58">
        <f>SUMIFS('9397 BOEE'!L$7:L$559,'9397 BOEE'!$B$7:$B$559,$B14,'9397 BOEE'!$A$7:$A$559,$A14)+SUMIFS('2217 Teachers Certs Clearing'!L$7:L$518,'2217 Teachers Certs Clearing'!$B$7:$B$518,$B14,'2217 Teachers Certs Clearing'!$A$7:$A$518,$A14)+SUMIFS('Blank Template'!L$7:L$520,'Blank Template'!$B$7:$B$520,$B14,'Blank Template'!$A$7:$A$520,$A14)</f>
        <v>0</v>
      </c>
      <c r="M14" s="58" t="e">
        <f>SUMIFS('9397 BOEE'!M$7:M$560,'9397 BOEE'!$B$7:$B$559,$B14,'9397 BOEE'!$A$7:$A$559,$A14)+SUMIFS('2217 Teachers Certs Clearing'!M$7:M$518,'2217 Teachers Certs Clearing'!$B$7:$B$518,$B14,'2217 Teachers Certs Clearing'!$A$7:$A$518,$A14)+SUMIFS('Blank Template'!M$7:M$520,'Blank Template'!$B$7:$B$520,$B14,'Blank Template'!$A$7:$A$520,$A14)</f>
        <v>#VALUE!</v>
      </c>
      <c r="N14" s="58" t="e">
        <f>SUMIFS('9397 BOEE'!N$7:N$560,'9397 BOEE'!$B$7:$B$559,$B14,'9397 BOEE'!$A$7:$A$559,$A14)+SUMIFS('2217 Teachers Certs Clearing'!N$7:N$518,'2217 Teachers Certs Clearing'!$B$7:$B$518,$B14,'2217 Teachers Certs Clearing'!$A$7:$A$518,$A14)+SUMIFS('Blank Template'!N$7:N$520,'Blank Template'!$B$7:$B$520,$B14,'Blank Template'!$A$7:$A$520,$A14)</f>
        <v>#VALUE!</v>
      </c>
      <c r="O14" s="58" t="e">
        <f>SUMIFS('9397 BOEE'!O$7:O$560,'9397 BOEE'!$B$7:$B$559,$B14,'9397 BOEE'!$A$7:$A$559,$A14)+SUMIFS('2217 Teachers Certs Clearing'!O$7:O$518,'2217 Teachers Certs Clearing'!$B$7:$B$518,$B14,'2217 Teachers Certs Clearing'!$A$7:$A$518,$A14)+SUMIFS('Blank Template'!O$7:O$520,'Blank Template'!$B$7:$B$520,$B14,'Blank Template'!$A$7:$A$520,$A14)</f>
        <v>#VALUE!</v>
      </c>
      <c r="P14" s="58">
        <f>SUMIFS('9397 BOEE'!P$7:P$559,'9397 BOEE'!$B$7:$B$559,$B14,'9397 BOEE'!$A$7:$A$559,$A14)+SUMIFS('2217 Teachers Certs Clearing'!P$7:P$518,'2217 Teachers Certs Clearing'!$B$7:$B$518,$B14,'2217 Teachers Certs Clearing'!$A$7:$A$518,$A14)+SUMIFS('Blank Template'!P$7:P$520,'Blank Template'!$B$7:$B$520,$B14,'Blank Template'!$A$7:$A$520,$A14)</f>
        <v>0</v>
      </c>
      <c r="Q14" s="58">
        <f>SUMIFS('9397 BOEE'!Q$7:Q$559,'9397 BOEE'!$B$7:$B$559,$B14,'9397 BOEE'!$A$7:$A$559,$A14)+SUMIFS('2217 Teachers Certs Clearing'!Q$7:Q$518,'2217 Teachers Certs Clearing'!$B$7:$B$518,$B14,'2217 Teachers Certs Clearing'!$A$7:$A$518,$A14)+SUMIFS('Blank Template'!Q$7:Q$520,'Blank Template'!$B$7:$B$520,$B14,'Blank Template'!$A$7:$A$520,$A14)</f>
        <v>0</v>
      </c>
      <c r="R14" s="58">
        <f>SUMIFS('9397 BOEE'!R$7:R$559,'9397 BOEE'!$B$7:$B$559,$B14,'9397 BOEE'!$A$7:$A$559,$A14)+SUMIFS('2217 Teachers Certs Clearing'!R$7:R$518,'2217 Teachers Certs Clearing'!$B$7:$B$518,$B14,'2217 Teachers Certs Clearing'!$A$7:$A$518,$A14)+SUMIFS('Blank Template'!R$7:R$520,'Blank Template'!$B$7:$B$520,$B14,'Blank Template'!$A$7:$A$520,$A14)</f>
        <v>0</v>
      </c>
      <c r="S14" s="58">
        <f>SUMIFS('9397 BOEE'!S$7:S$559,'9397 BOEE'!$B$7:$B$559,$B14,'9397 BOEE'!$A$7:$A$559,$A14)+SUMIFS('2217 Teachers Certs Clearing'!S$7:S$518,'2217 Teachers Certs Clearing'!$B$7:$B$518,$B14,'2217 Teachers Certs Clearing'!$A$7:$A$518,$A14)+SUMIFS('Blank Template'!S$7:S$520,'Blank Template'!$B$7:$B$520,$B14,'Blank Template'!$A$7:$A$520,$A14)</f>
        <v>0</v>
      </c>
      <c r="T14" s="70" t="e">
        <f t="shared" si="3"/>
        <v>#VALUE!</v>
      </c>
      <c r="U14" s="58">
        <f>SUMIFS('9397 BOEE'!U$7:U$559,'9397 BOEE'!$B$7:$B$559,$B14,'9397 BOEE'!$A$7:$A$559,$A14)+SUMIFS('2217 Teachers Certs Clearing'!U$7:U$518,'2217 Teachers Certs Clearing'!$B$7:$B$518,$B14,'2217 Teachers Certs Clearing'!$A$7:$A$518,$A14)+SUMIFS('Blank Template'!U$7:U$520,'Blank Template'!$B$7:$B$520,$B14,'Blank Template'!$A$7:$A$520,$A14)</f>
        <v>1000</v>
      </c>
      <c r="V14" s="71">
        <f t="shared" si="1"/>
        <v>0</v>
      </c>
      <c r="W14" s="71" t="e">
        <f t="shared" si="2"/>
        <v>#VALUE!</v>
      </c>
    </row>
    <row r="15" spans="1:25" s="1" customFormat="1" ht="18" customHeight="1" x14ac:dyDescent="0.2">
      <c r="A15" s="57" t="s">
        <v>133</v>
      </c>
      <c r="B15" s="57" t="s">
        <v>132</v>
      </c>
      <c r="C15" s="57"/>
      <c r="D15" s="58">
        <f>SUMIFS('9397 BOEE'!D$7:D$559,'9397 BOEE'!$B$7:$B$559,$B15,'9397 BOEE'!$A$7:$A$559,$A15)+SUMIFS('2217 Teachers Certs Clearing'!D$7:D$518,'2217 Teachers Certs Clearing'!$B$7:$B$518,$B15,'2217 Teachers Certs Clearing'!$A$7:$A$518,$A15)+SUMIFS('Blank Template'!D$7:D$520,'Blank Template'!$B$7:$B$520,$B15,'Blank Template'!$A$7:$A$520,$A15)</f>
        <v>49155</v>
      </c>
      <c r="E15" s="58">
        <f>SUMIFS('9397 BOEE'!E$7:E$559,'9397 BOEE'!$B$7:$B$559,$B15,'9397 BOEE'!$A$7:$A$559,$A15)+SUMIFS('2217 Teachers Certs Clearing'!E$7:E$518,'2217 Teachers Certs Clearing'!$B$7:$B$518,$B15,'2217 Teachers Certs Clearing'!$A$7:$A$518,$A15)+SUMIFS('Blank Template'!E$7:E$520,'Blank Template'!$B$7:$B$520,$B15,'Blank Template'!$A$7:$A$520,$A15)</f>
        <v>58365</v>
      </c>
      <c r="F15" s="58">
        <f>SUMIFS('9397 BOEE'!F$7:F$559,'9397 BOEE'!$B$7:$B$559,$B15,'9397 BOEE'!$A$7:$A$559,$A15)+SUMIFS('2217 Teachers Certs Clearing'!F$7:F$518,'2217 Teachers Certs Clearing'!$B$7:$B$518,$B15,'2217 Teachers Certs Clearing'!$A$7:$A$518,$A15)+SUMIFS('Blank Template'!F$7:F$520,'Blank Template'!$B$7:$B$520,$B15,'Blank Template'!$A$7:$A$520,$A15)</f>
        <v>43370</v>
      </c>
      <c r="G15" s="58">
        <f>SUMIFS('9397 BOEE'!G$7:G$559,'9397 BOEE'!$B$7:$B$559,$B15,'9397 BOEE'!$A$7:$A$559,$A15)+SUMIFS('2217 Teachers Certs Clearing'!G$7:G$518,'2217 Teachers Certs Clearing'!$B$7:$B$518,$B15,'2217 Teachers Certs Clearing'!$A$7:$A$518,$A15)+SUMIFS('Blank Template'!G$7:G$520,'Blank Template'!$B$7:$B$520,$B15,'Blank Template'!$A$7:$A$520,$A15)</f>
        <v>45381.25</v>
      </c>
      <c r="H15" s="58">
        <f>SUMIFS('9397 BOEE'!H$7:H$559,'9397 BOEE'!$B$7:$B$559,$B15,'9397 BOEE'!$A$7:$A$559,$A15)+SUMIFS('2217 Teachers Certs Clearing'!H$7:H$518,'2217 Teachers Certs Clearing'!$B$7:$B$518,$B15,'2217 Teachers Certs Clearing'!$A$7:$A$518,$A15)+SUMIFS('Blank Template'!H$7:H$520,'Blank Template'!$B$7:$B$520,$B15,'Blank Template'!$A$7:$A$520,$A15)</f>
        <v>35055</v>
      </c>
      <c r="I15" s="58">
        <f>SUMIFS('9397 BOEE'!I$7:I$559,'9397 BOEE'!$B$7:$B$559,$B15,'9397 BOEE'!$A$7:$A$559,$A15)+SUMIFS('2217 Teachers Certs Clearing'!I$7:I$518,'2217 Teachers Certs Clearing'!$B$7:$B$518,$B15,'2217 Teachers Certs Clearing'!$A$7:$A$518,$A15)+SUMIFS('Blank Template'!I$7:I$520,'Blank Template'!$B$7:$B$520,$B15,'Blank Template'!$A$7:$A$520,$A15)</f>
        <v>38325</v>
      </c>
      <c r="J15" s="58">
        <f>SUMIFS('9397 BOEE'!J$7:J$559,'9397 BOEE'!$B$7:$B$559,$B15,'9397 BOEE'!$A$7:$A$559,$A15)+SUMIFS('2217 Teachers Certs Clearing'!J$7:J$518,'2217 Teachers Certs Clearing'!$B$7:$B$518,$B15,'2217 Teachers Certs Clearing'!$A$7:$A$518,$A15)+SUMIFS('Blank Template'!J$7:J$520,'Blank Template'!$B$7:$B$520,$B15,'Blank Template'!$A$7:$A$520,$A15)</f>
        <v>58435</v>
      </c>
      <c r="K15" s="58">
        <f>SUMIFS('9397 BOEE'!K$7:K$559,'9397 BOEE'!$B$7:$B$559,$B15,'9397 BOEE'!$A$7:$A$559,$A15)+SUMIFS('2217 Teachers Certs Clearing'!K$7:K$518,'2217 Teachers Certs Clearing'!$B$7:$B$518,$B15,'2217 Teachers Certs Clearing'!$A$7:$A$518,$A15)+SUMIFS('Blank Template'!K$7:K$520,'Blank Template'!$B$7:$B$520,$B15,'Blank Template'!$A$7:$A$520,$A15)</f>
        <v>45595</v>
      </c>
      <c r="L15" s="58">
        <f>SUMIFS('9397 BOEE'!L$7:L$559,'9397 BOEE'!$B$7:$B$559,$B15,'9397 BOEE'!$A$7:$A$559,$A15)+SUMIFS('2217 Teachers Certs Clearing'!L$7:L$518,'2217 Teachers Certs Clearing'!$B$7:$B$518,$B15,'2217 Teachers Certs Clearing'!$A$7:$A$518,$A15)+SUMIFS('Blank Template'!L$7:L$520,'Blank Template'!$B$7:$B$520,$B15,'Blank Template'!$A$7:$A$520,$A15)</f>
        <v>42000</v>
      </c>
      <c r="M15" s="58" t="e">
        <f>SUMIFS('9397 BOEE'!M$7:M$560,'9397 BOEE'!$B$7:$B$559,$B15,'9397 BOEE'!$A$7:$A$559,$A15)+SUMIFS('2217 Teachers Certs Clearing'!M$7:M$518,'2217 Teachers Certs Clearing'!$B$7:$B$518,$B15,'2217 Teachers Certs Clearing'!$A$7:$A$518,$A15)+SUMIFS('Blank Template'!M$7:M$520,'Blank Template'!$B$7:$B$520,$B15,'Blank Template'!$A$7:$A$520,$A15)</f>
        <v>#VALUE!</v>
      </c>
      <c r="N15" s="58" t="e">
        <f>SUMIFS('9397 BOEE'!N$7:N$560,'9397 BOEE'!$B$7:$B$559,$B15,'9397 BOEE'!$A$7:$A$559,$A15)+SUMIFS('2217 Teachers Certs Clearing'!N$7:N$518,'2217 Teachers Certs Clearing'!$B$7:$B$518,$B15,'2217 Teachers Certs Clearing'!$A$7:$A$518,$A15)+SUMIFS('Blank Template'!N$7:N$520,'Blank Template'!$B$7:$B$520,$B15,'Blank Template'!$A$7:$A$520,$A15)</f>
        <v>#VALUE!</v>
      </c>
      <c r="O15" s="58" t="e">
        <f>SUMIFS('9397 BOEE'!O$7:O$560,'9397 BOEE'!$B$7:$B$559,$B15,'9397 BOEE'!$A$7:$A$559,$A15)+SUMIFS('2217 Teachers Certs Clearing'!O$7:O$518,'2217 Teachers Certs Clearing'!$B$7:$B$518,$B15,'2217 Teachers Certs Clearing'!$A$7:$A$518,$A15)+SUMIFS('Blank Template'!O$7:O$520,'Blank Template'!$B$7:$B$520,$B15,'Blank Template'!$A$7:$A$520,$A15)</f>
        <v>#VALUE!</v>
      </c>
      <c r="P15" s="58">
        <f>SUMIFS('9397 BOEE'!P$7:P$559,'9397 BOEE'!$B$7:$B$559,$B15,'9397 BOEE'!$A$7:$A$559,$A15)+SUMIFS('2217 Teachers Certs Clearing'!P$7:P$518,'2217 Teachers Certs Clearing'!$B$7:$B$518,$B15,'2217 Teachers Certs Clearing'!$A$7:$A$518,$A15)+SUMIFS('Blank Template'!P$7:P$520,'Blank Template'!$B$7:$B$520,$B15,'Blank Template'!$A$7:$A$520,$A15)</f>
        <v>0</v>
      </c>
      <c r="Q15" s="58">
        <f>SUMIFS('9397 BOEE'!Q$7:Q$559,'9397 BOEE'!$B$7:$B$559,$B15,'9397 BOEE'!$A$7:$A$559,$A15)+SUMIFS('2217 Teachers Certs Clearing'!Q$7:Q$518,'2217 Teachers Certs Clearing'!$B$7:$B$518,$B15,'2217 Teachers Certs Clearing'!$A$7:$A$518,$A15)+SUMIFS('Blank Template'!Q$7:Q$520,'Blank Template'!$B$7:$B$520,$B15,'Blank Template'!$A$7:$A$520,$A15)</f>
        <v>0</v>
      </c>
      <c r="R15" s="58">
        <f>SUMIFS('9397 BOEE'!R$7:R$559,'9397 BOEE'!$B$7:$B$559,$B15,'9397 BOEE'!$A$7:$A$559,$A15)+SUMIFS('2217 Teachers Certs Clearing'!R$7:R$518,'2217 Teachers Certs Clearing'!$B$7:$B$518,$B15,'2217 Teachers Certs Clearing'!$A$7:$A$518,$A15)+SUMIFS('Blank Template'!R$7:R$520,'Blank Template'!$B$7:$B$520,$B15,'Blank Template'!$A$7:$A$520,$A15)</f>
        <v>0</v>
      </c>
      <c r="S15" s="58">
        <f>SUMIFS('9397 BOEE'!S$7:S$559,'9397 BOEE'!$B$7:$B$559,$B15,'9397 BOEE'!$A$7:$A$559,$A15)+SUMIFS('2217 Teachers Certs Clearing'!S$7:S$518,'2217 Teachers Certs Clearing'!$B$7:$B$518,$B15,'2217 Teachers Certs Clearing'!$A$7:$A$518,$A15)+SUMIFS('Blank Template'!S$7:S$520,'Blank Template'!$B$7:$B$520,$B15,'Blank Template'!$A$7:$A$520,$A15)</f>
        <v>373681.25</v>
      </c>
      <c r="T15" s="70" t="e">
        <f t="shared" ref="T15" si="4">SUM(D15:R15)</f>
        <v>#VALUE!</v>
      </c>
      <c r="U15" s="58">
        <f>SUMIFS('9397 BOEE'!U$7:U$559,'9397 BOEE'!$B$7:$B$559,$B15,'9397 BOEE'!$A$7:$A$559,$A15)+SUMIFS('2217 Teachers Certs Clearing'!U$7:U$518,'2217 Teachers Certs Clearing'!$B$7:$B$518,$B15,'2217 Teachers Certs Clearing'!$A$7:$A$518,$A15)+SUMIFS('Blank Template'!U$7:U$520,'Blank Template'!$B$7:$B$520,$B15,'Blank Template'!$A$7:$A$520,$A15)</f>
        <v>590000</v>
      </c>
      <c r="V15" s="71">
        <f t="shared" ref="V15" si="5">IF(U15=0,0,SUMIF($D$6:$R$6,$X$2,D15:R15)/U15)</f>
        <v>8.3313559322033895E-2</v>
      </c>
      <c r="W15" s="71" t="e">
        <f t="shared" ref="W15" si="6">IF(U15=0,0,T15/U15)</f>
        <v>#VALUE!</v>
      </c>
    </row>
    <row r="16" spans="1:25" s="1" customFormat="1" ht="18" customHeight="1" x14ac:dyDescent="0.2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70"/>
      <c r="U16" s="58"/>
      <c r="V16" s="71"/>
      <c r="W16" s="71"/>
    </row>
    <row r="17" spans="1:26" s="1" customFormat="1" ht="18" customHeight="1" x14ac:dyDescent="0.25">
      <c r="A17" s="90" t="s">
        <v>42</v>
      </c>
      <c r="B17" s="90"/>
      <c r="C17" s="90"/>
      <c r="D17" s="101">
        <f t="shared" ref="D17:U17" si="7">SUM(D10:D16)</f>
        <v>224016.75</v>
      </c>
      <c r="E17" s="101">
        <f t="shared" si="7"/>
        <v>264041.75</v>
      </c>
      <c r="F17" s="101">
        <f t="shared" si="7"/>
        <v>160919.75</v>
      </c>
      <c r="G17" s="101">
        <f t="shared" si="7"/>
        <v>170507.5</v>
      </c>
      <c r="H17" s="101">
        <f t="shared" si="7"/>
        <v>132816.75</v>
      </c>
      <c r="I17" s="101">
        <f t="shared" si="7"/>
        <v>141342.75</v>
      </c>
      <c r="J17" s="101">
        <f t="shared" si="7"/>
        <v>207829.75</v>
      </c>
      <c r="K17" s="101">
        <f t="shared" si="7"/>
        <v>168690.25</v>
      </c>
      <c r="L17" s="101">
        <f t="shared" si="7"/>
        <v>156000</v>
      </c>
      <c r="M17" s="101" t="e">
        <f t="shared" si="7"/>
        <v>#VALUE!</v>
      </c>
      <c r="N17" s="101" t="e">
        <f t="shared" si="7"/>
        <v>#VALUE!</v>
      </c>
      <c r="O17" s="101" t="e">
        <f t="shared" si="7"/>
        <v>#VALUE!</v>
      </c>
      <c r="P17" s="101">
        <f t="shared" si="7"/>
        <v>0</v>
      </c>
      <c r="Q17" s="101">
        <f t="shared" si="7"/>
        <v>0</v>
      </c>
      <c r="R17" s="101">
        <f t="shared" si="7"/>
        <v>0</v>
      </c>
      <c r="S17" s="101">
        <f t="shared" si="7"/>
        <v>1470165.25</v>
      </c>
      <c r="T17" s="101" t="e">
        <f t="shared" si="7"/>
        <v>#VALUE!</v>
      </c>
      <c r="U17" s="101">
        <f t="shared" si="7"/>
        <v>2397000</v>
      </c>
      <c r="V17" s="92">
        <f>SUMIF($D$6:$R$6,$X$2,D17:R17)/U17</f>
        <v>9.345713391739674E-2</v>
      </c>
      <c r="W17" s="92" t="e">
        <f>T17/U17</f>
        <v>#VALUE!</v>
      </c>
    </row>
    <row r="18" spans="1:26" s="1" customFormat="1" ht="18" customHeight="1" x14ac:dyDescent="0.25">
      <c r="A18" s="49" t="s">
        <v>43</v>
      </c>
      <c r="B18" s="49"/>
      <c r="C18" s="4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60"/>
      <c r="U18" s="60"/>
      <c r="V18" s="92"/>
      <c r="W18" s="92"/>
    </row>
    <row r="19" spans="1:26" s="1" customFormat="1" ht="18" customHeight="1" x14ac:dyDescent="0.2">
      <c r="A19" s="57" t="s">
        <v>44</v>
      </c>
      <c r="B19" s="57" t="s">
        <v>45</v>
      </c>
      <c r="C19" s="57"/>
      <c r="D19" s="58">
        <f>SUMIFS('9397 BOEE'!D$7:D$559,'9397 BOEE'!$B$7:$B$559,$B19,'9397 BOEE'!$A$7:$A$559,$A19)+SUMIFS('2217 Teachers Certs Clearing'!D$7:D$518,'2217 Teachers Certs Clearing'!$B$7:$B$518,$B19,'2217 Teachers Certs Clearing'!$A$7:$A$518,$A19)+SUMIFS('Blank Template'!D$7:D$520,'Blank Template'!$B$7:$B$520,$B19,'Blank Template'!$A$7:$A$520,$A19)</f>
        <v>90180.96</v>
      </c>
      <c r="E19" s="58">
        <f>SUMIFS('9397 BOEE'!E$7:E$559,'9397 BOEE'!$B$7:$B$559,$B19,'9397 BOEE'!$A$7:$A$559,$A19)+SUMIFS('2217 Teachers Certs Clearing'!E$7:E$518,'2217 Teachers Certs Clearing'!$B$7:$B$518,$B19,'2217 Teachers Certs Clearing'!$A$7:$A$518,$A19)+SUMIFS('Blank Template'!E$7:E$520,'Blank Template'!$B$7:$B$520,$B19,'Blank Template'!$A$7:$A$520,$A19)</f>
        <v>137081.48000000001</v>
      </c>
      <c r="F19" s="58">
        <f>SUMIFS('9397 BOEE'!F$7:F$559,'9397 BOEE'!$B$7:$B$559,$B19,'9397 BOEE'!$A$7:$A$559,$A19)+SUMIFS('2217 Teachers Certs Clearing'!F$7:F$518,'2217 Teachers Certs Clearing'!$B$7:$B$518,$B19,'2217 Teachers Certs Clearing'!$A$7:$A$518,$A19)+SUMIFS('Blank Template'!F$7:F$520,'Blank Template'!$B$7:$B$520,$B19,'Blank Template'!$A$7:$A$520,$A19)</f>
        <v>142001.98000000001</v>
      </c>
      <c r="G19" s="58">
        <f>SUMIFS('9397 BOEE'!G$7:G$559,'9397 BOEE'!$B$7:$B$559,$B19,'9397 BOEE'!$A$7:$A$559,$A19)+SUMIFS('2217 Teachers Certs Clearing'!G$7:G$518,'2217 Teachers Certs Clearing'!$B$7:$B$518,$B19,'2217 Teachers Certs Clearing'!$A$7:$A$518,$A19)+SUMIFS('Blank Template'!G$7:G$520,'Blank Template'!$B$7:$B$520,$B19,'Blank Template'!$A$7:$A$520,$A19)</f>
        <v>232776.94</v>
      </c>
      <c r="H19" s="58">
        <f>SUMIFS('9397 BOEE'!H$7:H$559,'9397 BOEE'!$B$7:$B$559,$B19,'9397 BOEE'!$A$7:$A$559,$A19)+SUMIFS('2217 Teachers Certs Clearing'!H$7:H$518,'2217 Teachers Certs Clearing'!$B$7:$B$518,$B19,'2217 Teachers Certs Clearing'!$A$7:$A$518,$A19)+SUMIFS('Blank Template'!H$7:H$520,'Blank Template'!$B$7:$B$520,$B19,'Blank Template'!$A$7:$A$520,$A19)</f>
        <v>124010.23</v>
      </c>
      <c r="I19" s="58">
        <f>SUMIFS('9397 BOEE'!I$7:I$559,'9397 BOEE'!$B$7:$B$559,$B19,'9397 BOEE'!$A$7:$A$559,$A19)+SUMIFS('2217 Teachers Certs Clearing'!I$7:I$518,'2217 Teachers Certs Clearing'!$B$7:$B$518,$B19,'2217 Teachers Certs Clearing'!$A$7:$A$518,$A19)+SUMIFS('Blank Template'!I$7:I$520,'Blank Template'!$B$7:$B$520,$B19,'Blank Template'!$A$7:$A$520,$A19)</f>
        <v>146695.51</v>
      </c>
      <c r="J19" s="58">
        <f>SUMIFS('9397 BOEE'!J$7:J$559,'9397 BOEE'!$B$7:$B$559,$B19,'9397 BOEE'!$A$7:$A$559,$A19)+SUMIFS('2217 Teachers Certs Clearing'!J$7:J$518,'2217 Teachers Certs Clearing'!$B$7:$B$518,$B19,'2217 Teachers Certs Clearing'!$A$7:$A$518,$A19)+SUMIFS('Blank Template'!J$7:J$520,'Blank Template'!$B$7:$B$520,$B19,'Blank Template'!$A$7:$A$520,$A19)</f>
        <v>147108.82999999999</v>
      </c>
      <c r="K19" s="58">
        <f>SUMIFS('9397 BOEE'!K$7:K$559,'9397 BOEE'!$B$7:$B$559,$B19,'9397 BOEE'!$A$7:$A$559,$A19)+SUMIFS('2217 Teachers Certs Clearing'!K$7:K$518,'2217 Teachers Certs Clearing'!$B$7:$B$518,$B19,'2217 Teachers Certs Clearing'!$A$7:$A$518,$A19)+SUMIFS('Blank Template'!K$7:K$520,'Blank Template'!$B$7:$B$520,$B19,'Blank Template'!$A$7:$A$520,$A19)</f>
        <v>143544.82999999999</v>
      </c>
      <c r="L19" s="58">
        <f>SUMIFS('9397 BOEE'!L$7:L$559,'9397 BOEE'!$B$7:$B$559,$B19,'9397 BOEE'!$A$7:$A$559,$A19)+SUMIFS('2217 Teachers Certs Clearing'!L$7:L$518,'2217 Teachers Certs Clearing'!$B$7:$B$518,$B19,'2217 Teachers Certs Clearing'!$A$7:$A$518,$A19)+SUMIFS('Blank Template'!L$7:L$520,'Blank Template'!$B$7:$B$520,$B19,'Blank Template'!$A$7:$A$520,$A19)</f>
        <v>147126</v>
      </c>
      <c r="M19" s="58" t="e">
        <f>SUMIFS('9397 BOEE'!M$7:M$560,'9397 BOEE'!$B$7:$B$559,$B19,'9397 BOEE'!$A$7:$A$559,$A19)+SUMIFS('2217 Teachers Certs Clearing'!M$7:M$518,'2217 Teachers Certs Clearing'!$B$7:$B$518,$B19,'2217 Teachers Certs Clearing'!$A$7:$A$518,$A19)+SUMIFS('Blank Template'!M$7:M$520,'Blank Template'!$B$7:$B$520,$B19,'Blank Template'!$A$7:$A$520,$A19)</f>
        <v>#VALUE!</v>
      </c>
      <c r="N19" s="58" t="e">
        <f>SUMIFS('9397 BOEE'!N$7:N$560,'9397 BOEE'!$B$7:$B$559,$B19,'9397 BOEE'!$A$7:$A$559,$A19)+SUMIFS('2217 Teachers Certs Clearing'!N$7:N$518,'2217 Teachers Certs Clearing'!$B$7:$B$518,$B19,'2217 Teachers Certs Clearing'!$A$7:$A$518,$A19)+SUMIFS('Blank Template'!N$7:N$520,'Blank Template'!$B$7:$B$520,$B19,'Blank Template'!$A$7:$A$520,$A19)</f>
        <v>#VALUE!</v>
      </c>
      <c r="O19" s="58" t="e">
        <f>SUMIFS('9397 BOEE'!O$7:O$560,'9397 BOEE'!$B$7:$B$559,$B19,'9397 BOEE'!$A$7:$A$559,$A19)+SUMIFS('2217 Teachers Certs Clearing'!O$7:O$518,'2217 Teachers Certs Clearing'!$B$7:$B$518,$B19,'2217 Teachers Certs Clearing'!$A$7:$A$518,$A19)+SUMIFS('Blank Template'!O$7:O$520,'Blank Template'!$B$7:$B$520,$B19,'Blank Template'!$A$7:$A$520,$A19)</f>
        <v>#VALUE!</v>
      </c>
      <c r="P19" s="58">
        <f>SUMIFS('9397 BOEE'!P$7:P$559,'9397 BOEE'!$B$7:$B$559,$B19,'9397 BOEE'!$A$7:$A$559,$A19)+SUMIFS('2217 Teachers Certs Clearing'!P$7:P$518,'2217 Teachers Certs Clearing'!$B$7:$B$518,$B19,'2217 Teachers Certs Clearing'!$A$7:$A$518,$A19)+SUMIFS('Blank Template'!P$7:P$520,'Blank Template'!$B$7:$B$520,$B19,'Blank Template'!$A$7:$A$520,$A19)</f>
        <v>72117</v>
      </c>
      <c r="Q19" s="58">
        <f>SUMIFS('9397 BOEE'!Q$7:Q$559,'9397 BOEE'!$B$7:$B$559,$B19,'9397 BOEE'!$A$7:$A$559,$A19)+SUMIFS('2217 Teachers Certs Clearing'!Q$7:Q$518,'2217 Teachers Certs Clearing'!$B$7:$B$518,$B19,'2217 Teachers Certs Clearing'!$A$7:$A$518,$A19)+SUMIFS('Blank Template'!Q$7:Q$520,'Blank Template'!$B$7:$B$520,$B19,'Blank Template'!$A$7:$A$520,$A19)</f>
        <v>0</v>
      </c>
      <c r="R19" s="58">
        <f>SUMIFS('9397 BOEE'!R$7:R$559,'9397 BOEE'!$B$7:$B$559,$B19,'9397 BOEE'!$A$7:$A$559,$A19)+SUMIFS('2217 Teachers Certs Clearing'!R$7:R$518,'2217 Teachers Certs Clearing'!$B$7:$B$518,$B19,'2217 Teachers Certs Clearing'!$A$7:$A$518,$A19)+SUMIFS('Blank Template'!R$7:R$520,'Blank Template'!$B$7:$B$520,$B19,'Blank Template'!$A$7:$A$520,$A19)</f>
        <v>0</v>
      </c>
      <c r="S19" s="58">
        <f>SUMIFS('9397 BOEE'!S$7:S$559,'9397 BOEE'!$B$7:$B$559,$B19,'9397 BOEE'!$A$7:$A$559,$A19)+SUMIFS('2217 Teachers Certs Clearing'!S$7:S$518,'2217 Teachers Certs Clearing'!$B$7:$B$518,$B19,'2217 Teachers Certs Clearing'!$A$7:$A$518,$A19)+SUMIFS('Blank Template'!S$7:S$520,'Blank Template'!$B$7:$B$520,$B19,'Blank Template'!$A$7:$A$520,$A19)</f>
        <v>1163400.76</v>
      </c>
      <c r="T19" s="58" t="e">
        <f t="shared" ref="T19:T48" si="8">SUM(D19:R19)</f>
        <v>#VALUE!</v>
      </c>
      <c r="U19" s="58">
        <f>SUMIFS('9397 BOEE'!U$7:U$559,'9397 BOEE'!$B$7:$B$559,$B19,'9397 BOEE'!$A$7:$A$559,$A19)+SUMIFS('2217 Teachers Certs Clearing'!U$7:U$518,'2217 Teachers Certs Clearing'!$B$7:$B$518,$B19,'2217 Teachers Certs Clearing'!$A$7:$A$518,$A19)+SUMIFS('Blank Template'!U$7:U$520,'Blank Template'!$B$7:$B$520,$B19,'Blank Template'!$A$7:$A$520,$A19)</f>
        <v>1912643</v>
      </c>
      <c r="V19" s="71">
        <f t="shared" ref="V19:V48" si="9">IF(U19=0,0,SUMIF($D$6:$R$6,$X$2,D19:R19)/U19)</f>
        <v>4.7149917679357833E-2</v>
      </c>
      <c r="W19" s="71" t="e">
        <f t="shared" ref="W19:W48" si="10">IF(U19=0,0,T19/U19)</f>
        <v>#VALUE!</v>
      </c>
      <c r="Y19" s="5"/>
      <c r="Z19" s="5"/>
    </row>
    <row r="20" spans="1:26" s="1" customFormat="1" ht="18" customHeight="1" x14ac:dyDescent="0.2">
      <c r="A20" s="57" t="s">
        <v>46</v>
      </c>
      <c r="B20" s="57" t="s">
        <v>47</v>
      </c>
      <c r="C20" s="57"/>
      <c r="D20" s="58">
        <f>SUMIFS('9397 BOEE'!D$7:D$559,'9397 BOEE'!$B$7:$B$559,$B20,'9397 BOEE'!$A$7:$A$559,$A20)+SUMIFS('2217 Teachers Certs Clearing'!D$7:D$518,'2217 Teachers Certs Clearing'!$B$7:$B$518,$B20,'2217 Teachers Certs Clearing'!$A$7:$A$518,$A20)+SUMIFS('Blank Template'!D$7:D$520,'Blank Template'!$B$7:$B$520,$B20,'Blank Template'!$A$7:$A$520,$A20)</f>
        <v>0</v>
      </c>
      <c r="E20" s="58">
        <f>SUMIFS('9397 BOEE'!E$7:E$559,'9397 BOEE'!$B$7:$B$559,$B20,'9397 BOEE'!$A$7:$A$559,$A20)+SUMIFS('2217 Teachers Certs Clearing'!E$7:E$518,'2217 Teachers Certs Clearing'!$B$7:$B$518,$B20,'2217 Teachers Certs Clearing'!$A$7:$A$518,$A20)+SUMIFS('Blank Template'!E$7:E$520,'Blank Template'!$B$7:$B$520,$B20,'Blank Template'!$A$7:$A$520,$A20)</f>
        <v>0</v>
      </c>
      <c r="F20" s="58">
        <f>SUMIFS('9397 BOEE'!F$7:F$559,'9397 BOEE'!$B$7:$B$559,$B20,'9397 BOEE'!$A$7:$A$559,$A20)+SUMIFS('2217 Teachers Certs Clearing'!F$7:F$518,'2217 Teachers Certs Clearing'!$B$7:$B$518,$B20,'2217 Teachers Certs Clearing'!$A$7:$A$518,$A20)+SUMIFS('Blank Template'!F$7:F$520,'Blank Template'!$B$7:$B$520,$B20,'Blank Template'!$A$7:$A$520,$A20)</f>
        <v>719.5</v>
      </c>
      <c r="G20" s="58">
        <f>SUMIFS('9397 BOEE'!G$7:G$559,'9397 BOEE'!$B$7:$B$559,$B20,'9397 BOEE'!$A$7:$A$559,$A20)+SUMIFS('2217 Teachers Certs Clearing'!G$7:G$518,'2217 Teachers Certs Clearing'!$B$7:$B$518,$B20,'2217 Teachers Certs Clearing'!$A$7:$A$518,$A20)+SUMIFS('Blank Template'!G$7:G$520,'Blank Template'!$B$7:$B$520,$B20,'Blank Template'!$A$7:$A$520,$A20)</f>
        <v>1601.6</v>
      </c>
      <c r="H20" s="58">
        <f>SUMIFS('9397 BOEE'!H$7:H$559,'9397 BOEE'!$B$7:$B$559,$B20,'9397 BOEE'!$A$7:$A$559,$A20)+SUMIFS('2217 Teachers Certs Clearing'!H$7:H$518,'2217 Teachers Certs Clearing'!$B$7:$B$518,$B20,'2217 Teachers Certs Clearing'!$A$7:$A$518,$A20)+SUMIFS('Blank Template'!H$7:H$520,'Blank Template'!$B$7:$B$520,$B20,'Blank Template'!$A$7:$A$520,$A20)</f>
        <v>1543</v>
      </c>
      <c r="I20" s="58">
        <f>SUMIFS('9397 BOEE'!I$7:I$559,'9397 BOEE'!$B$7:$B$559,$B20,'9397 BOEE'!$A$7:$A$559,$A20)+SUMIFS('2217 Teachers Certs Clearing'!I$7:I$518,'2217 Teachers Certs Clearing'!$B$7:$B$518,$B20,'2217 Teachers Certs Clearing'!$A$7:$A$518,$A20)+SUMIFS('Blank Template'!I$7:I$520,'Blank Template'!$B$7:$B$520,$B20,'Blank Template'!$A$7:$A$520,$A20)</f>
        <v>873.5</v>
      </c>
      <c r="J20" s="58">
        <f>SUMIFS('9397 BOEE'!J$7:J$559,'9397 BOEE'!$B$7:$B$559,$B20,'9397 BOEE'!$A$7:$A$559,$A20)+SUMIFS('2217 Teachers Certs Clearing'!J$7:J$518,'2217 Teachers Certs Clearing'!$B$7:$B$518,$B20,'2217 Teachers Certs Clearing'!$A$7:$A$518,$A20)+SUMIFS('Blank Template'!J$7:J$520,'Blank Template'!$B$7:$B$520,$B20,'Blank Template'!$A$7:$A$520,$A20)</f>
        <v>1433.19</v>
      </c>
      <c r="K20" s="58">
        <f>SUMIFS('9397 BOEE'!K$7:K$559,'9397 BOEE'!$B$7:$B$559,$B20,'9397 BOEE'!$A$7:$A$559,$A20)+SUMIFS('2217 Teachers Certs Clearing'!K$7:K$518,'2217 Teachers Certs Clearing'!$B$7:$B$518,$B20,'2217 Teachers Certs Clearing'!$A$7:$A$518,$A20)+SUMIFS('Blank Template'!K$7:K$520,'Blank Template'!$B$7:$B$520,$B20,'Blank Template'!$A$7:$A$520,$A20)</f>
        <v>793.7</v>
      </c>
      <c r="L20" s="58">
        <f>SUMIFS('9397 BOEE'!L$7:L$559,'9397 BOEE'!$B$7:$B$559,$B20,'9397 BOEE'!$A$7:$A$559,$A20)+SUMIFS('2217 Teachers Certs Clearing'!L$7:L$518,'2217 Teachers Certs Clearing'!$B$7:$B$518,$B20,'2217 Teachers Certs Clearing'!$A$7:$A$518,$A20)+SUMIFS('Blank Template'!L$7:L$520,'Blank Template'!$B$7:$B$520,$B20,'Blank Template'!$A$7:$A$520,$A20)</f>
        <v>0</v>
      </c>
      <c r="M20" s="58" t="e">
        <f>SUMIFS('9397 BOEE'!M$7:M$560,'9397 BOEE'!$B$7:$B$559,$B20,'9397 BOEE'!$A$7:$A$559,$A20)+SUMIFS('2217 Teachers Certs Clearing'!M$7:M$518,'2217 Teachers Certs Clearing'!$B$7:$B$518,$B20,'2217 Teachers Certs Clearing'!$A$7:$A$518,$A20)+SUMIFS('Blank Template'!M$7:M$520,'Blank Template'!$B$7:$B$520,$B20,'Blank Template'!$A$7:$A$520,$A20)</f>
        <v>#VALUE!</v>
      </c>
      <c r="N20" s="58" t="e">
        <f>SUMIFS('9397 BOEE'!N$7:N$560,'9397 BOEE'!$B$7:$B$559,$B20,'9397 BOEE'!$A$7:$A$559,$A20)+SUMIFS('2217 Teachers Certs Clearing'!N$7:N$518,'2217 Teachers Certs Clearing'!$B$7:$B$518,$B20,'2217 Teachers Certs Clearing'!$A$7:$A$518,$A20)+SUMIFS('Blank Template'!N$7:N$520,'Blank Template'!$B$7:$B$520,$B20,'Blank Template'!$A$7:$A$520,$A20)</f>
        <v>#VALUE!</v>
      </c>
      <c r="O20" s="58" t="e">
        <f>SUMIFS('9397 BOEE'!O$7:O$560,'9397 BOEE'!$B$7:$B$559,$B20,'9397 BOEE'!$A$7:$A$559,$A20)+SUMIFS('2217 Teachers Certs Clearing'!O$7:O$518,'2217 Teachers Certs Clearing'!$B$7:$B$518,$B20,'2217 Teachers Certs Clearing'!$A$7:$A$518,$A20)+SUMIFS('Blank Template'!O$7:O$520,'Blank Template'!$B$7:$B$520,$B20,'Blank Template'!$A$7:$A$520,$A20)</f>
        <v>#VALUE!</v>
      </c>
      <c r="P20" s="58">
        <f>SUMIFS('9397 BOEE'!P$7:P$559,'9397 BOEE'!$B$7:$B$559,$B20,'9397 BOEE'!$A$7:$A$559,$A20)+SUMIFS('2217 Teachers Certs Clearing'!P$7:P$518,'2217 Teachers Certs Clearing'!$B$7:$B$518,$B20,'2217 Teachers Certs Clearing'!$A$7:$A$518,$A20)+SUMIFS('Blank Template'!P$7:P$520,'Blank Template'!$B$7:$B$520,$B20,'Blank Template'!$A$7:$A$520,$A20)</f>
        <v>0</v>
      </c>
      <c r="Q20" s="58">
        <f>SUMIFS('9397 BOEE'!Q$7:Q$559,'9397 BOEE'!$B$7:$B$559,$B20,'9397 BOEE'!$A$7:$A$559,$A20)+SUMIFS('2217 Teachers Certs Clearing'!Q$7:Q$518,'2217 Teachers Certs Clearing'!$B$7:$B$518,$B20,'2217 Teachers Certs Clearing'!$A$7:$A$518,$A20)+SUMIFS('Blank Template'!Q$7:Q$520,'Blank Template'!$B$7:$B$520,$B20,'Blank Template'!$A$7:$A$520,$A20)</f>
        <v>0</v>
      </c>
      <c r="R20" s="58">
        <f>SUMIFS('9397 BOEE'!R$7:R$559,'9397 BOEE'!$B$7:$B$559,$B20,'9397 BOEE'!$A$7:$A$559,$A20)+SUMIFS('2217 Teachers Certs Clearing'!R$7:R$518,'2217 Teachers Certs Clearing'!$B$7:$B$518,$B20,'2217 Teachers Certs Clearing'!$A$7:$A$518,$A20)+SUMIFS('Blank Template'!R$7:R$520,'Blank Template'!$B$7:$B$520,$B20,'Blank Template'!$A$7:$A$520,$A20)</f>
        <v>0</v>
      </c>
      <c r="S20" s="58">
        <f>SUMIFS('9397 BOEE'!S$7:S$559,'9397 BOEE'!$B$7:$B$559,$B20,'9397 BOEE'!$A$7:$A$559,$A20)+SUMIFS('2217 Teachers Certs Clearing'!S$7:S$518,'2217 Teachers Certs Clearing'!$B$7:$B$518,$B20,'2217 Teachers Certs Clearing'!$A$7:$A$518,$A20)+SUMIFS('Blank Template'!S$7:S$520,'Blank Template'!$B$7:$B$520,$B20,'Blank Template'!$A$7:$A$520,$A20)</f>
        <v>6964.4900000000007</v>
      </c>
      <c r="T20" s="58" t="e">
        <f t="shared" si="8"/>
        <v>#VALUE!</v>
      </c>
      <c r="U20" s="58">
        <f>SUMIFS('9397 BOEE'!U$7:U$559,'9397 BOEE'!$B$7:$B$559,$B20,'9397 BOEE'!$A$7:$A$559,$A20)+SUMIFS('2217 Teachers Certs Clearing'!U$7:U$518,'2217 Teachers Certs Clearing'!$B$7:$B$518,$B20,'2217 Teachers Certs Clearing'!$A$7:$A$518,$A20)+SUMIFS('Blank Template'!U$7:U$520,'Blank Template'!$B$7:$B$520,$B20,'Blank Template'!$A$7:$A$520,$A20)</f>
        <v>21000</v>
      </c>
      <c r="V20" s="71">
        <f t="shared" si="9"/>
        <v>0</v>
      </c>
      <c r="W20" s="71" t="e">
        <f t="shared" si="10"/>
        <v>#VALUE!</v>
      </c>
      <c r="Y20" s="5"/>
      <c r="Z20" s="6"/>
    </row>
    <row r="21" spans="1:26" s="1" customFormat="1" ht="18" customHeight="1" x14ac:dyDescent="0.2">
      <c r="A21" s="57" t="s">
        <v>127</v>
      </c>
      <c r="B21" s="57" t="s">
        <v>128</v>
      </c>
      <c r="C21" s="57"/>
      <c r="D21" s="58">
        <f>SUMIFS('9397 BOEE'!D$7:D$559,'9397 BOEE'!$B$7:$B$559,$B21,'9397 BOEE'!$A$7:$A$559,$A21)+SUMIFS('2217 Teachers Certs Clearing'!D$7:D$518,'2217 Teachers Certs Clearing'!$B$7:$B$518,$B21,'2217 Teachers Certs Clearing'!$A$7:$A$518,$A21)+SUMIFS('Blank Template'!D$7:D$520,'Blank Template'!$B$7:$B$520,$B21,'Blank Template'!$A$7:$A$520,$A21)</f>
        <v>0</v>
      </c>
      <c r="E21" s="58">
        <f>SUMIFS('9397 BOEE'!E$7:E$559,'9397 BOEE'!$B$7:$B$559,$B21,'9397 BOEE'!$A$7:$A$559,$A21)+SUMIFS('2217 Teachers Certs Clearing'!E$7:E$518,'2217 Teachers Certs Clearing'!$B$7:$B$518,$B21,'2217 Teachers Certs Clearing'!$A$7:$A$518,$A21)+SUMIFS('Blank Template'!E$7:E$520,'Blank Template'!$B$7:$B$520,$B21,'Blank Template'!$A$7:$A$520,$A21)</f>
        <v>0</v>
      </c>
      <c r="F21" s="58">
        <f>SUMIFS('9397 BOEE'!F$7:F$559,'9397 BOEE'!$B$7:$B$559,$B21,'9397 BOEE'!$A$7:$A$559,$A21)+SUMIFS('2217 Teachers Certs Clearing'!F$7:F$518,'2217 Teachers Certs Clearing'!$B$7:$B$518,$B21,'2217 Teachers Certs Clearing'!$A$7:$A$518,$A21)+SUMIFS('Blank Template'!F$7:F$520,'Blank Template'!$B$7:$B$520,$B21,'Blank Template'!$A$7:$A$520,$A21)</f>
        <v>0</v>
      </c>
      <c r="G21" s="58">
        <f>SUMIFS('9397 BOEE'!G$7:G$559,'9397 BOEE'!$B$7:$B$559,$B21,'9397 BOEE'!$A$7:$A$559,$A21)+SUMIFS('2217 Teachers Certs Clearing'!G$7:G$518,'2217 Teachers Certs Clearing'!$B$7:$B$518,$B21,'2217 Teachers Certs Clearing'!$A$7:$A$518,$A21)+SUMIFS('Blank Template'!G$7:G$520,'Blank Template'!$B$7:$B$520,$B21,'Blank Template'!$A$7:$A$520,$A21)</f>
        <v>0</v>
      </c>
      <c r="H21" s="58">
        <f>SUMIFS('9397 BOEE'!H$7:H$559,'9397 BOEE'!$B$7:$B$559,$B21,'9397 BOEE'!$A$7:$A$559,$A21)+SUMIFS('2217 Teachers Certs Clearing'!H$7:H$518,'2217 Teachers Certs Clearing'!$B$7:$B$518,$B21,'2217 Teachers Certs Clearing'!$A$7:$A$518,$A21)+SUMIFS('Blank Template'!H$7:H$520,'Blank Template'!$B$7:$B$520,$B21,'Blank Template'!$A$7:$A$520,$A21)</f>
        <v>0</v>
      </c>
      <c r="I21" s="58">
        <f>SUMIFS('9397 BOEE'!I$7:I$559,'9397 BOEE'!$B$7:$B$559,$B21,'9397 BOEE'!$A$7:$A$559,$A21)+SUMIFS('2217 Teachers Certs Clearing'!I$7:I$518,'2217 Teachers Certs Clearing'!$B$7:$B$518,$B21,'2217 Teachers Certs Clearing'!$A$7:$A$518,$A21)+SUMIFS('Blank Template'!I$7:I$520,'Blank Template'!$B$7:$B$520,$B21,'Blank Template'!$A$7:$A$520,$A21)</f>
        <v>0</v>
      </c>
      <c r="J21" s="58">
        <f>SUMIFS('9397 BOEE'!J$7:J$559,'9397 BOEE'!$B$7:$B$559,$B21,'9397 BOEE'!$A$7:$A$559,$A21)+SUMIFS('2217 Teachers Certs Clearing'!J$7:J$518,'2217 Teachers Certs Clearing'!$B$7:$B$518,$B21,'2217 Teachers Certs Clearing'!$A$7:$A$518,$A21)+SUMIFS('Blank Template'!J$7:J$520,'Blank Template'!$B$7:$B$520,$B21,'Blank Template'!$A$7:$A$520,$A21)</f>
        <v>0</v>
      </c>
      <c r="K21" s="58">
        <f>SUMIFS('9397 BOEE'!K$7:K$559,'9397 BOEE'!$B$7:$B$559,$B21,'9397 BOEE'!$A$7:$A$559,$A21)+SUMIFS('2217 Teachers Certs Clearing'!K$7:K$518,'2217 Teachers Certs Clearing'!$B$7:$B$518,$B21,'2217 Teachers Certs Clearing'!$A$7:$A$518,$A21)+SUMIFS('Blank Template'!K$7:K$520,'Blank Template'!$B$7:$B$520,$B21,'Blank Template'!$A$7:$A$520,$A21)</f>
        <v>0</v>
      </c>
      <c r="L21" s="58">
        <f>SUMIFS('9397 BOEE'!L$7:L$559,'9397 BOEE'!$B$7:$B$559,$B21,'9397 BOEE'!$A$7:$A$559,$A21)+SUMIFS('2217 Teachers Certs Clearing'!L$7:L$518,'2217 Teachers Certs Clearing'!$B$7:$B$518,$B21,'2217 Teachers Certs Clearing'!$A$7:$A$518,$A21)+SUMIFS('Blank Template'!L$7:L$520,'Blank Template'!$B$7:$B$520,$B21,'Blank Template'!$A$7:$A$520,$A21)</f>
        <v>0</v>
      </c>
      <c r="M21" s="58" t="e">
        <f>SUMIFS('9397 BOEE'!M$7:M$560,'9397 BOEE'!$B$7:$B$559,$B21,'9397 BOEE'!$A$7:$A$559,$A21)+SUMIFS('2217 Teachers Certs Clearing'!M$7:M$518,'2217 Teachers Certs Clearing'!$B$7:$B$518,$B21,'2217 Teachers Certs Clearing'!$A$7:$A$518,$A21)+SUMIFS('Blank Template'!M$7:M$520,'Blank Template'!$B$7:$B$520,$B21,'Blank Template'!$A$7:$A$520,$A21)</f>
        <v>#VALUE!</v>
      </c>
      <c r="N21" s="58" t="e">
        <f>SUMIFS('9397 BOEE'!N$7:N$560,'9397 BOEE'!$B$7:$B$559,$B21,'9397 BOEE'!$A$7:$A$559,$A21)+SUMIFS('2217 Teachers Certs Clearing'!N$7:N$518,'2217 Teachers Certs Clearing'!$B$7:$B$518,$B21,'2217 Teachers Certs Clearing'!$A$7:$A$518,$A21)+SUMIFS('Blank Template'!N$7:N$520,'Blank Template'!$B$7:$B$520,$B21,'Blank Template'!$A$7:$A$520,$A21)</f>
        <v>#VALUE!</v>
      </c>
      <c r="O21" s="58" t="e">
        <f>SUMIFS('9397 BOEE'!O$7:O$560,'9397 BOEE'!$B$7:$B$559,$B21,'9397 BOEE'!$A$7:$A$559,$A21)+SUMIFS('2217 Teachers Certs Clearing'!O$7:O$518,'2217 Teachers Certs Clearing'!$B$7:$B$518,$B21,'2217 Teachers Certs Clearing'!$A$7:$A$518,$A21)+SUMIFS('Blank Template'!O$7:O$520,'Blank Template'!$B$7:$B$520,$B21,'Blank Template'!$A$7:$A$520,$A21)</f>
        <v>#VALUE!</v>
      </c>
      <c r="P21" s="58">
        <f>SUMIFS('9397 BOEE'!P$7:P$559,'9397 BOEE'!$B$7:$B$559,$B21,'9397 BOEE'!$A$7:$A$559,$A21)+SUMIFS('2217 Teachers Certs Clearing'!P$7:P$518,'2217 Teachers Certs Clearing'!$B$7:$B$518,$B21,'2217 Teachers Certs Clearing'!$A$7:$A$518,$A21)+SUMIFS('Blank Template'!P$7:P$520,'Blank Template'!$B$7:$B$520,$B21,'Blank Template'!$A$7:$A$520,$A21)</f>
        <v>0</v>
      </c>
      <c r="Q21" s="58">
        <f>SUMIFS('9397 BOEE'!Q$7:Q$559,'9397 BOEE'!$B$7:$B$559,$B21,'9397 BOEE'!$A$7:$A$559,$A21)+SUMIFS('2217 Teachers Certs Clearing'!Q$7:Q$518,'2217 Teachers Certs Clearing'!$B$7:$B$518,$B21,'2217 Teachers Certs Clearing'!$A$7:$A$518,$A21)+SUMIFS('Blank Template'!Q$7:Q$520,'Blank Template'!$B$7:$B$520,$B21,'Blank Template'!$A$7:$A$520,$A21)</f>
        <v>0</v>
      </c>
      <c r="R21" s="58">
        <f>SUMIFS('9397 BOEE'!R$7:R$559,'9397 BOEE'!$B$7:$B$559,$B21,'9397 BOEE'!$A$7:$A$559,$A21)+SUMIFS('2217 Teachers Certs Clearing'!R$7:R$518,'2217 Teachers Certs Clearing'!$B$7:$B$518,$B21,'2217 Teachers Certs Clearing'!$A$7:$A$518,$A21)+SUMIFS('Blank Template'!R$7:R$520,'Blank Template'!$B$7:$B$520,$B21,'Blank Template'!$A$7:$A$520,$A21)</f>
        <v>0</v>
      </c>
      <c r="S21" s="58">
        <f>SUMIFS('9397 BOEE'!S$7:S$559,'9397 BOEE'!$B$7:$B$559,$B21,'9397 BOEE'!$A$7:$A$559,$A21)+SUMIFS('2217 Teachers Certs Clearing'!S$7:S$518,'2217 Teachers Certs Clearing'!$B$7:$B$518,$B21,'2217 Teachers Certs Clearing'!$A$7:$A$518,$A21)+SUMIFS('Blank Template'!S$7:S$520,'Blank Template'!$B$7:$B$520,$B21,'Blank Template'!$A$7:$A$520,$A21)</f>
        <v>0</v>
      </c>
      <c r="T21" s="58" t="e">
        <f t="shared" ref="T21" si="11">SUM(D21:R21)</f>
        <v>#VALUE!</v>
      </c>
      <c r="U21" s="58">
        <f>SUMIFS('9397 BOEE'!U$7:U$559,'9397 BOEE'!$B$7:$B$559,$B21,'9397 BOEE'!$A$7:$A$559,$A21)+SUMIFS('2217 Teachers Certs Clearing'!U$7:U$518,'2217 Teachers Certs Clearing'!$B$7:$B$518,$B21,'2217 Teachers Certs Clearing'!$A$7:$A$518,$A21)+SUMIFS('Blank Template'!U$7:U$520,'Blank Template'!$B$7:$B$520,$B21,'Blank Template'!$A$7:$A$520,$A21)</f>
        <v>0</v>
      </c>
      <c r="V21" s="71">
        <f t="shared" si="9"/>
        <v>0</v>
      </c>
      <c r="W21" s="71">
        <f t="shared" si="10"/>
        <v>0</v>
      </c>
      <c r="Y21" s="5"/>
      <c r="Z21" s="6"/>
    </row>
    <row r="22" spans="1:26" s="1" customFormat="1" ht="18" customHeight="1" x14ac:dyDescent="0.2">
      <c r="A22" s="57" t="s">
        <v>139</v>
      </c>
      <c r="B22" s="57" t="s">
        <v>140</v>
      </c>
      <c r="C22" s="57"/>
      <c r="D22" s="58">
        <f>SUMIFS('9397 BOEE'!D$7:D$559,'9397 BOEE'!$B$7:$B$559,$B22,'9397 BOEE'!$A$7:$A$559,$A22)+SUMIFS('2217 Teachers Certs Clearing'!D$7:D$518,'2217 Teachers Certs Clearing'!$B$7:$B$518,$B22,'2217 Teachers Certs Clearing'!$A$7:$A$518,$A22)+SUMIFS('Blank Template'!D$7:D$520,'Blank Template'!$B$7:$B$520,$B22,'Blank Template'!$A$7:$A$520,$A22)</f>
        <v>0</v>
      </c>
      <c r="E22" s="58">
        <f>SUMIFS('9397 BOEE'!E$7:E$559,'9397 BOEE'!$B$7:$B$559,$B22,'9397 BOEE'!$A$7:$A$559,$A22)+SUMIFS('2217 Teachers Certs Clearing'!E$7:E$518,'2217 Teachers Certs Clearing'!$B$7:$B$518,$B22,'2217 Teachers Certs Clearing'!$A$7:$A$518,$A22)+SUMIFS('Blank Template'!E$7:E$520,'Blank Template'!$B$7:$B$520,$B22,'Blank Template'!$A$7:$A$520,$A22)</f>
        <v>0</v>
      </c>
      <c r="F22" s="58">
        <f>SUMIFS('9397 BOEE'!F$7:F$559,'9397 BOEE'!$B$7:$B$559,$B22,'9397 BOEE'!$A$7:$A$559,$A22)+SUMIFS('2217 Teachers Certs Clearing'!F$7:F$518,'2217 Teachers Certs Clearing'!$B$7:$B$518,$B22,'2217 Teachers Certs Clearing'!$A$7:$A$518,$A22)+SUMIFS('Blank Template'!F$7:F$520,'Blank Template'!$B$7:$B$520,$B22,'Blank Template'!$A$7:$A$520,$A22)</f>
        <v>0</v>
      </c>
      <c r="G22" s="58">
        <f>SUMIFS('9397 BOEE'!G$7:G$559,'9397 BOEE'!$B$7:$B$559,$B22,'9397 BOEE'!$A$7:$A$559,$A22)+SUMIFS('2217 Teachers Certs Clearing'!G$7:G$518,'2217 Teachers Certs Clearing'!$B$7:$B$518,$B22,'2217 Teachers Certs Clearing'!$A$7:$A$518,$A22)+SUMIFS('Blank Template'!G$7:G$520,'Blank Template'!$B$7:$B$520,$B22,'Blank Template'!$A$7:$A$520,$A22)</f>
        <v>0</v>
      </c>
      <c r="H22" s="58">
        <f>SUMIFS('9397 BOEE'!H$7:H$559,'9397 BOEE'!$B$7:$B$559,$B22,'9397 BOEE'!$A$7:$A$559,$A22)+SUMIFS('2217 Teachers Certs Clearing'!H$7:H$518,'2217 Teachers Certs Clearing'!$B$7:$B$518,$B22,'2217 Teachers Certs Clearing'!$A$7:$A$518,$A22)+SUMIFS('Blank Template'!H$7:H$520,'Blank Template'!$B$7:$B$520,$B22,'Blank Template'!$A$7:$A$520,$A22)</f>
        <v>0</v>
      </c>
      <c r="I22" s="58">
        <f>SUMIFS('9397 BOEE'!I$7:I$559,'9397 BOEE'!$B$7:$B$559,$B22,'9397 BOEE'!$A$7:$A$559,$A22)+SUMIFS('2217 Teachers Certs Clearing'!I$7:I$518,'2217 Teachers Certs Clearing'!$B$7:$B$518,$B22,'2217 Teachers Certs Clearing'!$A$7:$A$518,$A22)+SUMIFS('Blank Template'!I$7:I$520,'Blank Template'!$B$7:$B$520,$B22,'Blank Template'!$A$7:$A$520,$A22)</f>
        <v>0</v>
      </c>
      <c r="J22" s="58">
        <f>SUMIFS('9397 BOEE'!J$7:J$559,'9397 BOEE'!$B$7:$B$559,$B22,'9397 BOEE'!$A$7:$A$559,$A22)+SUMIFS('2217 Teachers Certs Clearing'!J$7:J$518,'2217 Teachers Certs Clearing'!$B$7:$B$518,$B22,'2217 Teachers Certs Clearing'!$A$7:$A$518,$A22)+SUMIFS('Blank Template'!J$7:J$520,'Blank Template'!$B$7:$B$520,$B22,'Blank Template'!$A$7:$A$520,$A22)</f>
        <v>0</v>
      </c>
      <c r="K22" s="58">
        <f>SUMIFS('9397 BOEE'!K$7:K$559,'9397 BOEE'!$B$7:$B$559,$B22,'9397 BOEE'!$A$7:$A$559,$A22)+SUMIFS('2217 Teachers Certs Clearing'!K$7:K$518,'2217 Teachers Certs Clearing'!$B$7:$B$518,$B22,'2217 Teachers Certs Clearing'!$A$7:$A$518,$A22)+SUMIFS('Blank Template'!K$7:K$520,'Blank Template'!$B$7:$B$520,$B22,'Blank Template'!$A$7:$A$520,$A22)</f>
        <v>0</v>
      </c>
      <c r="L22" s="58">
        <f>SUMIFS('9397 BOEE'!L$7:L$559,'9397 BOEE'!$B$7:$B$559,$B22,'9397 BOEE'!$A$7:$A$559,$A22)+SUMIFS('2217 Teachers Certs Clearing'!L$7:L$518,'2217 Teachers Certs Clearing'!$B$7:$B$518,$B22,'2217 Teachers Certs Clearing'!$A$7:$A$518,$A22)+SUMIFS('Blank Template'!L$7:L$520,'Blank Template'!$B$7:$B$520,$B22,'Blank Template'!$A$7:$A$520,$A22)</f>
        <v>0</v>
      </c>
      <c r="M22" s="58" t="e">
        <f>SUMIFS('9397 BOEE'!M$7:M$560,'9397 BOEE'!$B$7:$B$559,$B22,'9397 BOEE'!$A$7:$A$559,$A22)+SUMIFS('2217 Teachers Certs Clearing'!M$7:M$518,'2217 Teachers Certs Clearing'!$B$7:$B$518,$B22,'2217 Teachers Certs Clearing'!$A$7:$A$518,$A22)+SUMIFS('Blank Template'!M$7:M$520,'Blank Template'!$B$7:$B$520,$B22,'Blank Template'!$A$7:$A$520,$A22)</f>
        <v>#VALUE!</v>
      </c>
      <c r="N22" s="58" t="e">
        <f>SUMIFS('9397 BOEE'!N$7:N$560,'9397 BOEE'!$B$7:$B$559,$B22,'9397 BOEE'!$A$7:$A$559,$A22)+SUMIFS('2217 Teachers Certs Clearing'!N$7:N$518,'2217 Teachers Certs Clearing'!$B$7:$B$518,$B22,'2217 Teachers Certs Clearing'!$A$7:$A$518,$A22)+SUMIFS('Blank Template'!N$7:N$520,'Blank Template'!$B$7:$B$520,$B22,'Blank Template'!$A$7:$A$520,$A22)</f>
        <v>#VALUE!</v>
      </c>
      <c r="O22" s="58" t="e">
        <f>SUMIFS('9397 BOEE'!O$7:O$560,'9397 BOEE'!$B$7:$B$559,$B22,'9397 BOEE'!$A$7:$A$559,$A22)+SUMIFS('2217 Teachers Certs Clearing'!O$7:O$518,'2217 Teachers Certs Clearing'!$B$7:$B$518,$B22,'2217 Teachers Certs Clearing'!$A$7:$A$518,$A22)+SUMIFS('Blank Template'!O$7:O$520,'Blank Template'!$B$7:$B$520,$B22,'Blank Template'!$A$7:$A$520,$A22)</f>
        <v>#VALUE!</v>
      </c>
      <c r="P22" s="58">
        <f>SUMIFS('9397 BOEE'!P$7:P$559,'9397 BOEE'!$B$7:$B$559,$B22,'9397 BOEE'!$A$7:$A$559,$A22)+SUMIFS('2217 Teachers Certs Clearing'!P$7:P$518,'2217 Teachers Certs Clearing'!$B$7:$B$518,$B22,'2217 Teachers Certs Clearing'!$A$7:$A$518,$A22)+SUMIFS('Blank Template'!P$7:P$520,'Blank Template'!$B$7:$B$520,$B22,'Blank Template'!$A$7:$A$520,$A22)</f>
        <v>0</v>
      </c>
      <c r="Q22" s="58">
        <f>SUMIFS('9397 BOEE'!Q$7:Q$559,'9397 BOEE'!$B$7:$B$559,$B22,'9397 BOEE'!$A$7:$A$559,$A22)+SUMIFS('2217 Teachers Certs Clearing'!Q$7:Q$518,'2217 Teachers Certs Clearing'!$B$7:$B$518,$B22,'2217 Teachers Certs Clearing'!$A$7:$A$518,$A22)+SUMIFS('Blank Template'!Q$7:Q$520,'Blank Template'!$B$7:$B$520,$B22,'Blank Template'!$A$7:$A$520,$A22)</f>
        <v>0</v>
      </c>
      <c r="R22" s="58">
        <f>SUMIFS('9397 BOEE'!R$7:R$559,'9397 BOEE'!$B$7:$B$559,$B22,'9397 BOEE'!$A$7:$A$559,$A22)+SUMIFS('2217 Teachers Certs Clearing'!R$7:R$518,'2217 Teachers Certs Clearing'!$B$7:$B$518,$B22,'2217 Teachers Certs Clearing'!$A$7:$A$518,$A22)+SUMIFS('Blank Template'!R$7:R$520,'Blank Template'!$B$7:$B$520,$B22,'Blank Template'!$A$7:$A$520,$A22)</f>
        <v>0</v>
      </c>
      <c r="S22" s="58">
        <f>SUMIFS('9397 BOEE'!S$7:S$559,'9397 BOEE'!$B$7:$B$559,$B22,'9397 BOEE'!$A$7:$A$559,$A22)+SUMIFS('2217 Teachers Certs Clearing'!S$7:S$518,'2217 Teachers Certs Clearing'!$B$7:$B$518,$B22,'2217 Teachers Certs Clearing'!$A$7:$A$518,$A22)+SUMIFS('Blank Template'!S$7:S$520,'Blank Template'!$B$7:$B$520,$B22,'Blank Template'!$A$7:$A$520,$A22)</f>
        <v>0</v>
      </c>
      <c r="T22" s="58" t="e">
        <f t="shared" ref="T22" si="12">SUM(D22:R22)</f>
        <v>#VALUE!</v>
      </c>
      <c r="U22" s="58">
        <f>SUMIFS('9397 BOEE'!U$7:U$559,'9397 BOEE'!$B$7:$B$559,$B22,'9397 BOEE'!$A$7:$A$559,$A22)+SUMIFS('2217 Teachers Certs Clearing'!U$7:U$518,'2217 Teachers Certs Clearing'!$B$7:$B$518,$B22,'2217 Teachers Certs Clearing'!$A$7:$A$518,$A22)+SUMIFS('Blank Template'!U$7:U$520,'Blank Template'!$B$7:$B$520,$B22,'Blank Template'!$A$7:$A$520,$A22)</f>
        <v>0</v>
      </c>
      <c r="V22" s="71">
        <f t="shared" ref="V22" si="13">IF(U22=0,0,SUMIF($D$6:$R$6,$X$2,D22:R22)/U22)</f>
        <v>0</v>
      </c>
      <c r="W22" s="71">
        <f t="shared" ref="W22" si="14">IF(U22=0,0,T22/U22)</f>
        <v>0</v>
      </c>
      <c r="Y22" s="5"/>
      <c r="Z22" s="6"/>
    </row>
    <row r="23" spans="1:26" s="1" customFormat="1" ht="18" customHeight="1" x14ac:dyDescent="0.2">
      <c r="A23" s="57" t="s">
        <v>38</v>
      </c>
      <c r="B23" s="57" t="s">
        <v>48</v>
      </c>
      <c r="C23" s="57"/>
      <c r="D23" s="58">
        <f>SUMIFS('9397 BOEE'!D$7:D$559,'9397 BOEE'!$B$7:$B$559,$B23,'9397 BOEE'!$A$7:$A$559,$A23)+SUMIFS('2217 Teachers Certs Clearing'!D$7:D$518,'2217 Teachers Certs Clearing'!$B$7:$B$518,$B23,'2217 Teachers Certs Clearing'!$A$7:$A$518,$A23)+SUMIFS('Blank Template'!D$7:D$520,'Blank Template'!$B$7:$B$520,$B23,'Blank Template'!$A$7:$A$520,$A23)</f>
        <v>0</v>
      </c>
      <c r="E23" s="58">
        <f>SUMIFS('9397 BOEE'!E$7:E$559,'9397 BOEE'!$B$7:$B$559,$B23,'9397 BOEE'!$A$7:$A$559,$A23)+SUMIFS('2217 Teachers Certs Clearing'!E$7:E$518,'2217 Teachers Certs Clearing'!$B$7:$B$518,$B23,'2217 Teachers Certs Clearing'!$A$7:$A$518,$A23)+SUMIFS('Blank Template'!E$7:E$520,'Blank Template'!$B$7:$B$520,$B23,'Blank Template'!$A$7:$A$520,$A23)</f>
        <v>0</v>
      </c>
      <c r="F23" s="58">
        <f>SUMIFS('9397 BOEE'!F$7:F$559,'9397 BOEE'!$B$7:$B$559,$B23,'9397 BOEE'!$A$7:$A$559,$A23)+SUMIFS('2217 Teachers Certs Clearing'!F$7:F$518,'2217 Teachers Certs Clearing'!$B$7:$B$518,$B23,'2217 Teachers Certs Clearing'!$A$7:$A$518,$A23)+SUMIFS('Blank Template'!F$7:F$520,'Blank Template'!$B$7:$B$520,$B23,'Blank Template'!$A$7:$A$520,$A23)</f>
        <v>0</v>
      </c>
      <c r="G23" s="58">
        <f>SUMIFS('9397 BOEE'!G$7:G$559,'9397 BOEE'!$B$7:$B$559,$B23,'9397 BOEE'!$A$7:$A$559,$A23)+SUMIFS('2217 Teachers Certs Clearing'!G$7:G$518,'2217 Teachers Certs Clearing'!$B$7:$B$518,$B23,'2217 Teachers Certs Clearing'!$A$7:$A$518,$A23)+SUMIFS('Blank Template'!G$7:G$520,'Blank Template'!$B$7:$B$520,$B23,'Blank Template'!$A$7:$A$520,$A23)</f>
        <v>0</v>
      </c>
      <c r="H23" s="58">
        <f>SUMIFS('9397 BOEE'!H$7:H$559,'9397 BOEE'!$B$7:$B$559,$B23,'9397 BOEE'!$A$7:$A$559,$A23)+SUMIFS('2217 Teachers Certs Clearing'!H$7:H$518,'2217 Teachers Certs Clearing'!$B$7:$B$518,$B23,'2217 Teachers Certs Clearing'!$A$7:$A$518,$A23)+SUMIFS('Blank Template'!H$7:H$520,'Blank Template'!$B$7:$B$520,$B23,'Blank Template'!$A$7:$A$520,$A23)</f>
        <v>385.68</v>
      </c>
      <c r="I23" s="58">
        <f>SUMIFS('9397 BOEE'!I$7:I$559,'9397 BOEE'!$B$7:$B$559,$B23,'9397 BOEE'!$A$7:$A$559,$A23)+SUMIFS('2217 Teachers Certs Clearing'!I$7:I$518,'2217 Teachers Certs Clearing'!$B$7:$B$518,$B23,'2217 Teachers Certs Clearing'!$A$7:$A$518,$A23)+SUMIFS('Blank Template'!I$7:I$520,'Blank Template'!$B$7:$B$520,$B23,'Blank Template'!$A$7:$A$520,$A23)</f>
        <v>0</v>
      </c>
      <c r="J23" s="58">
        <f>SUMIFS('9397 BOEE'!J$7:J$559,'9397 BOEE'!$B$7:$B$559,$B23,'9397 BOEE'!$A$7:$A$559,$A23)+SUMIFS('2217 Teachers Certs Clearing'!J$7:J$518,'2217 Teachers Certs Clearing'!$B$7:$B$518,$B23,'2217 Teachers Certs Clearing'!$A$7:$A$518,$A23)+SUMIFS('Blank Template'!J$7:J$520,'Blank Template'!$B$7:$B$520,$B23,'Blank Template'!$A$7:$A$520,$A23)</f>
        <v>0</v>
      </c>
      <c r="K23" s="58">
        <f>SUMIFS('9397 BOEE'!K$7:K$559,'9397 BOEE'!$B$7:$B$559,$B23,'9397 BOEE'!$A$7:$A$559,$A23)+SUMIFS('2217 Teachers Certs Clearing'!K$7:K$518,'2217 Teachers Certs Clearing'!$B$7:$B$518,$B23,'2217 Teachers Certs Clearing'!$A$7:$A$518,$A23)+SUMIFS('Blank Template'!K$7:K$520,'Blank Template'!$B$7:$B$520,$B23,'Blank Template'!$A$7:$A$520,$A23)</f>
        <v>0</v>
      </c>
      <c r="L23" s="58">
        <f>SUMIFS('9397 BOEE'!L$7:L$559,'9397 BOEE'!$B$7:$B$559,$B23,'9397 BOEE'!$A$7:$A$559,$A23)+SUMIFS('2217 Teachers Certs Clearing'!L$7:L$518,'2217 Teachers Certs Clearing'!$B$7:$B$518,$B23,'2217 Teachers Certs Clearing'!$A$7:$A$518,$A23)+SUMIFS('Blank Template'!L$7:L$520,'Blank Template'!$B$7:$B$520,$B23,'Blank Template'!$A$7:$A$520,$A23)</f>
        <v>0</v>
      </c>
      <c r="M23" s="58" t="e">
        <f>SUMIFS('9397 BOEE'!M$7:M$560,'9397 BOEE'!$B$7:$B$559,$B23,'9397 BOEE'!$A$7:$A$559,$A23)+SUMIFS('2217 Teachers Certs Clearing'!M$7:M$518,'2217 Teachers Certs Clearing'!$B$7:$B$518,$B23,'2217 Teachers Certs Clearing'!$A$7:$A$518,$A23)+SUMIFS('Blank Template'!M$7:M$520,'Blank Template'!$B$7:$B$520,$B23,'Blank Template'!$A$7:$A$520,$A23)</f>
        <v>#VALUE!</v>
      </c>
      <c r="N23" s="58" t="e">
        <f>SUMIFS('9397 BOEE'!N$7:N$560,'9397 BOEE'!$B$7:$B$559,$B23,'9397 BOEE'!$A$7:$A$559,$A23)+SUMIFS('2217 Teachers Certs Clearing'!N$7:N$518,'2217 Teachers Certs Clearing'!$B$7:$B$518,$B23,'2217 Teachers Certs Clearing'!$A$7:$A$518,$A23)+SUMIFS('Blank Template'!N$7:N$520,'Blank Template'!$B$7:$B$520,$B23,'Blank Template'!$A$7:$A$520,$A23)</f>
        <v>#VALUE!</v>
      </c>
      <c r="O23" s="58" t="e">
        <f>SUMIFS('9397 BOEE'!O$7:O$560,'9397 BOEE'!$B$7:$B$559,$B23,'9397 BOEE'!$A$7:$A$559,$A23)+SUMIFS('2217 Teachers Certs Clearing'!O$7:O$518,'2217 Teachers Certs Clearing'!$B$7:$B$518,$B23,'2217 Teachers Certs Clearing'!$A$7:$A$518,$A23)+SUMIFS('Blank Template'!O$7:O$520,'Blank Template'!$B$7:$B$520,$B23,'Blank Template'!$A$7:$A$520,$A23)</f>
        <v>#VALUE!</v>
      </c>
      <c r="P23" s="58">
        <f>SUMIFS('9397 BOEE'!P$7:P$559,'9397 BOEE'!$B$7:$B$559,$B23,'9397 BOEE'!$A$7:$A$559,$A23)+SUMIFS('2217 Teachers Certs Clearing'!P$7:P$518,'2217 Teachers Certs Clearing'!$B$7:$B$518,$B23,'2217 Teachers Certs Clearing'!$A$7:$A$518,$A23)+SUMIFS('Blank Template'!P$7:P$520,'Blank Template'!$B$7:$B$520,$B23,'Blank Template'!$A$7:$A$520,$A23)</f>
        <v>0</v>
      </c>
      <c r="Q23" s="58">
        <f>SUMIFS('9397 BOEE'!Q$7:Q$559,'9397 BOEE'!$B$7:$B$559,$B23,'9397 BOEE'!$A$7:$A$559,$A23)+SUMIFS('2217 Teachers Certs Clearing'!Q$7:Q$518,'2217 Teachers Certs Clearing'!$B$7:$B$518,$B23,'2217 Teachers Certs Clearing'!$A$7:$A$518,$A23)+SUMIFS('Blank Template'!Q$7:Q$520,'Blank Template'!$B$7:$B$520,$B23,'Blank Template'!$A$7:$A$520,$A23)</f>
        <v>0</v>
      </c>
      <c r="R23" s="58">
        <f>SUMIFS('9397 BOEE'!R$7:R$559,'9397 BOEE'!$B$7:$B$559,$B23,'9397 BOEE'!$A$7:$A$559,$A23)+SUMIFS('2217 Teachers Certs Clearing'!R$7:R$518,'2217 Teachers Certs Clearing'!$B$7:$B$518,$B23,'2217 Teachers Certs Clearing'!$A$7:$A$518,$A23)+SUMIFS('Blank Template'!R$7:R$520,'Blank Template'!$B$7:$B$520,$B23,'Blank Template'!$A$7:$A$520,$A23)</f>
        <v>0</v>
      </c>
      <c r="S23" s="58">
        <f>SUMIFS('9397 BOEE'!S$7:S$559,'9397 BOEE'!$B$7:$B$559,$B23,'9397 BOEE'!$A$7:$A$559,$A23)+SUMIFS('2217 Teachers Certs Clearing'!S$7:S$518,'2217 Teachers Certs Clearing'!$B$7:$B$518,$B23,'2217 Teachers Certs Clearing'!$A$7:$A$518,$A23)+SUMIFS('Blank Template'!S$7:S$520,'Blank Template'!$B$7:$B$520,$B23,'Blank Template'!$A$7:$A$520,$A23)</f>
        <v>385.68</v>
      </c>
      <c r="T23" s="58" t="e">
        <f t="shared" si="8"/>
        <v>#VALUE!</v>
      </c>
      <c r="U23" s="58">
        <f>SUMIFS('9397 BOEE'!U$7:U$559,'9397 BOEE'!$B$7:$B$559,$B23,'9397 BOEE'!$A$7:$A$559,$A23)+SUMIFS('2217 Teachers Certs Clearing'!U$7:U$518,'2217 Teachers Certs Clearing'!$B$7:$B$518,$B23,'2217 Teachers Certs Clearing'!$A$7:$A$518,$A23)+SUMIFS('Blank Template'!U$7:U$520,'Blank Template'!$B$7:$B$520,$B23,'Blank Template'!$A$7:$A$520,$A23)</f>
        <v>20000</v>
      </c>
      <c r="V23" s="71">
        <f t="shared" si="9"/>
        <v>0</v>
      </c>
      <c r="W23" s="71" t="e">
        <f t="shared" si="10"/>
        <v>#VALUE!</v>
      </c>
      <c r="Y23" s="5"/>
      <c r="Z23" s="6"/>
    </row>
    <row r="24" spans="1:26" s="1" customFormat="1" ht="18" customHeight="1" x14ac:dyDescent="0.2">
      <c r="A24" s="57" t="s">
        <v>39</v>
      </c>
      <c r="B24" s="57" t="s">
        <v>49</v>
      </c>
      <c r="C24" s="57"/>
      <c r="D24" s="58">
        <f>SUMIFS('9397 BOEE'!D$7:D$559,'9397 BOEE'!$B$7:$B$559,$B24,'9397 BOEE'!$A$7:$A$559,$A24)+SUMIFS('2217 Teachers Certs Clearing'!D$7:D$518,'2217 Teachers Certs Clearing'!$B$7:$B$518,$B24,'2217 Teachers Certs Clearing'!$A$7:$A$518,$A24)+SUMIFS('Blank Template'!D$7:D$520,'Blank Template'!$B$7:$B$520,$B24,'Blank Template'!$A$7:$A$520,$A24)</f>
        <v>0</v>
      </c>
      <c r="E24" s="58">
        <f>SUMIFS('9397 BOEE'!E$7:E$559,'9397 BOEE'!$B$7:$B$559,$B24,'9397 BOEE'!$A$7:$A$559,$A24)+SUMIFS('2217 Teachers Certs Clearing'!E$7:E$518,'2217 Teachers Certs Clearing'!$B$7:$B$518,$B24,'2217 Teachers Certs Clearing'!$A$7:$A$518,$A24)+SUMIFS('Blank Template'!E$7:E$520,'Blank Template'!$B$7:$B$520,$B24,'Blank Template'!$A$7:$A$520,$A24)</f>
        <v>153.51</v>
      </c>
      <c r="F24" s="58">
        <f>SUMIFS('9397 BOEE'!F$7:F$559,'9397 BOEE'!$B$7:$B$559,$B24,'9397 BOEE'!$A$7:$A$559,$A24)+SUMIFS('2217 Teachers Certs Clearing'!F$7:F$518,'2217 Teachers Certs Clearing'!$B$7:$B$518,$B24,'2217 Teachers Certs Clearing'!$A$7:$A$518,$A24)+SUMIFS('Blank Template'!F$7:F$520,'Blank Template'!$B$7:$B$520,$B24,'Blank Template'!$A$7:$A$520,$A24)</f>
        <v>69.16</v>
      </c>
      <c r="G24" s="58">
        <f>SUMIFS('9397 BOEE'!G$7:G$559,'9397 BOEE'!$B$7:$B$559,$B24,'9397 BOEE'!$A$7:$A$559,$A24)+SUMIFS('2217 Teachers Certs Clearing'!G$7:G$518,'2217 Teachers Certs Clearing'!$B$7:$B$518,$B24,'2217 Teachers Certs Clearing'!$A$7:$A$518,$A24)+SUMIFS('Blank Template'!G$7:G$520,'Blank Template'!$B$7:$B$520,$B24,'Blank Template'!$A$7:$A$520,$A24)</f>
        <v>493.36</v>
      </c>
      <c r="H24" s="58">
        <f>SUMIFS('9397 BOEE'!H$7:H$559,'9397 BOEE'!$B$7:$B$559,$B24,'9397 BOEE'!$A$7:$A$559,$A24)+SUMIFS('2217 Teachers Certs Clearing'!H$7:H$518,'2217 Teachers Certs Clearing'!$B$7:$B$518,$B24,'2217 Teachers Certs Clearing'!$A$7:$A$518,$A24)+SUMIFS('Blank Template'!H$7:H$520,'Blank Template'!$B$7:$B$520,$B24,'Blank Template'!$A$7:$A$520,$A24)</f>
        <v>0</v>
      </c>
      <c r="I24" s="58">
        <f>SUMIFS('9397 BOEE'!I$7:I$559,'9397 BOEE'!$B$7:$B$559,$B24,'9397 BOEE'!$A$7:$A$559,$A24)+SUMIFS('2217 Teachers Certs Clearing'!I$7:I$518,'2217 Teachers Certs Clearing'!$B$7:$B$518,$B24,'2217 Teachers Certs Clearing'!$A$7:$A$518,$A24)+SUMIFS('Blank Template'!I$7:I$520,'Blank Template'!$B$7:$B$520,$B24,'Blank Template'!$A$7:$A$520,$A24)</f>
        <v>0</v>
      </c>
      <c r="J24" s="58">
        <f>SUMIFS('9397 BOEE'!J$7:J$559,'9397 BOEE'!$B$7:$B$559,$B24,'9397 BOEE'!$A$7:$A$559,$A24)+SUMIFS('2217 Teachers Certs Clearing'!J$7:J$518,'2217 Teachers Certs Clearing'!$B$7:$B$518,$B24,'2217 Teachers Certs Clearing'!$A$7:$A$518,$A24)+SUMIFS('Blank Template'!J$7:J$520,'Blank Template'!$B$7:$B$520,$B24,'Blank Template'!$A$7:$A$520,$A24)</f>
        <v>0</v>
      </c>
      <c r="K24" s="58">
        <f>SUMIFS('9397 BOEE'!K$7:K$559,'9397 BOEE'!$B$7:$B$559,$B24,'9397 BOEE'!$A$7:$A$559,$A24)+SUMIFS('2217 Teachers Certs Clearing'!K$7:K$518,'2217 Teachers Certs Clearing'!$B$7:$B$518,$B24,'2217 Teachers Certs Clearing'!$A$7:$A$518,$A24)+SUMIFS('Blank Template'!K$7:K$520,'Blank Template'!$B$7:$B$520,$B24,'Blank Template'!$A$7:$A$520,$A24)</f>
        <v>306.33</v>
      </c>
      <c r="L24" s="58">
        <f>SUMIFS('9397 BOEE'!L$7:L$559,'9397 BOEE'!$B$7:$B$559,$B24,'9397 BOEE'!$A$7:$A$559,$A24)+SUMIFS('2217 Teachers Certs Clearing'!L$7:L$518,'2217 Teachers Certs Clearing'!$B$7:$B$518,$B24,'2217 Teachers Certs Clearing'!$A$7:$A$518,$A24)+SUMIFS('Blank Template'!L$7:L$520,'Blank Template'!$B$7:$B$520,$B24,'Blank Template'!$A$7:$A$520,$A24)</f>
        <v>0</v>
      </c>
      <c r="M24" s="58" t="e">
        <f>SUMIFS('9397 BOEE'!M$7:M$560,'9397 BOEE'!$B$7:$B$559,$B24,'9397 BOEE'!$A$7:$A$559,$A24)+SUMIFS('2217 Teachers Certs Clearing'!M$7:M$518,'2217 Teachers Certs Clearing'!$B$7:$B$518,$B24,'2217 Teachers Certs Clearing'!$A$7:$A$518,$A24)+SUMIFS('Blank Template'!M$7:M$520,'Blank Template'!$B$7:$B$520,$B24,'Blank Template'!$A$7:$A$520,$A24)</f>
        <v>#VALUE!</v>
      </c>
      <c r="N24" s="58" t="e">
        <f>SUMIFS('9397 BOEE'!N$7:N$560,'9397 BOEE'!$B$7:$B$559,$B24,'9397 BOEE'!$A$7:$A$559,$A24)+SUMIFS('2217 Teachers Certs Clearing'!N$7:N$518,'2217 Teachers Certs Clearing'!$B$7:$B$518,$B24,'2217 Teachers Certs Clearing'!$A$7:$A$518,$A24)+SUMIFS('Blank Template'!N$7:N$520,'Blank Template'!$B$7:$B$520,$B24,'Blank Template'!$A$7:$A$520,$A24)</f>
        <v>#VALUE!</v>
      </c>
      <c r="O24" s="58" t="e">
        <f>SUMIFS('9397 BOEE'!O$7:O$560,'9397 BOEE'!$B$7:$B$559,$B24,'9397 BOEE'!$A$7:$A$559,$A24)+SUMIFS('2217 Teachers Certs Clearing'!O$7:O$518,'2217 Teachers Certs Clearing'!$B$7:$B$518,$B24,'2217 Teachers Certs Clearing'!$A$7:$A$518,$A24)+SUMIFS('Blank Template'!O$7:O$520,'Blank Template'!$B$7:$B$520,$B24,'Blank Template'!$A$7:$A$520,$A24)</f>
        <v>#VALUE!</v>
      </c>
      <c r="P24" s="58">
        <f>SUMIFS('9397 BOEE'!P$7:P$559,'9397 BOEE'!$B$7:$B$559,$B24,'9397 BOEE'!$A$7:$A$559,$A24)+SUMIFS('2217 Teachers Certs Clearing'!P$7:P$518,'2217 Teachers Certs Clearing'!$B$7:$B$518,$B24,'2217 Teachers Certs Clearing'!$A$7:$A$518,$A24)+SUMIFS('Blank Template'!P$7:P$520,'Blank Template'!$B$7:$B$520,$B24,'Blank Template'!$A$7:$A$520,$A24)</f>
        <v>0</v>
      </c>
      <c r="Q24" s="58">
        <f>SUMIFS('9397 BOEE'!Q$7:Q$559,'9397 BOEE'!$B$7:$B$559,$B24,'9397 BOEE'!$A$7:$A$559,$A24)+SUMIFS('2217 Teachers Certs Clearing'!Q$7:Q$518,'2217 Teachers Certs Clearing'!$B$7:$B$518,$B24,'2217 Teachers Certs Clearing'!$A$7:$A$518,$A24)+SUMIFS('Blank Template'!Q$7:Q$520,'Blank Template'!$B$7:$B$520,$B24,'Blank Template'!$A$7:$A$520,$A24)</f>
        <v>0</v>
      </c>
      <c r="R24" s="58">
        <f>SUMIFS('9397 BOEE'!R$7:R$559,'9397 BOEE'!$B$7:$B$559,$B24,'9397 BOEE'!$A$7:$A$559,$A24)+SUMIFS('2217 Teachers Certs Clearing'!R$7:R$518,'2217 Teachers Certs Clearing'!$B$7:$B$518,$B24,'2217 Teachers Certs Clearing'!$A$7:$A$518,$A24)+SUMIFS('Blank Template'!R$7:R$520,'Blank Template'!$B$7:$B$520,$B24,'Blank Template'!$A$7:$A$520,$A24)</f>
        <v>0</v>
      </c>
      <c r="S24" s="58">
        <f>SUMIFS('9397 BOEE'!S$7:S$559,'9397 BOEE'!$B$7:$B$559,$B24,'9397 BOEE'!$A$7:$A$559,$A24)+SUMIFS('2217 Teachers Certs Clearing'!S$7:S$518,'2217 Teachers Certs Clearing'!$B$7:$B$518,$B24,'2217 Teachers Certs Clearing'!$A$7:$A$518,$A24)+SUMIFS('Blank Template'!S$7:S$520,'Blank Template'!$B$7:$B$520,$B24,'Blank Template'!$A$7:$A$520,$A24)</f>
        <v>1022.3599999999999</v>
      </c>
      <c r="T24" s="58" t="e">
        <f t="shared" si="8"/>
        <v>#VALUE!</v>
      </c>
      <c r="U24" s="58">
        <f>SUMIFS('9397 BOEE'!U$7:U$559,'9397 BOEE'!$B$7:$B$559,$B24,'9397 BOEE'!$A$7:$A$559,$A24)+SUMIFS('2217 Teachers Certs Clearing'!U$7:U$518,'2217 Teachers Certs Clearing'!$B$7:$B$518,$B24,'2217 Teachers Certs Clearing'!$A$7:$A$518,$A24)+SUMIFS('Blank Template'!U$7:U$520,'Blank Template'!$B$7:$B$520,$B24,'Blank Template'!$A$7:$A$520,$A24)</f>
        <v>10500</v>
      </c>
      <c r="V24" s="71">
        <f t="shared" si="9"/>
        <v>0</v>
      </c>
      <c r="W24" s="71" t="e">
        <f t="shared" si="10"/>
        <v>#VALUE!</v>
      </c>
      <c r="Y24" s="5"/>
      <c r="Z24" s="6"/>
    </row>
    <row r="25" spans="1:26" s="1" customFormat="1" ht="18" customHeight="1" x14ac:dyDescent="0.2">
      <c r="A25" s="57" t="s">
        <v>50</v>
      </c>
      <c r="B25" s="57" t="s">
        <v>51</v>
      </c>
      <c r="C25" s="57"/>
      <c r="D25" s="58">
        <f>SUMIFS('9397 BOEE'!D$7:D$559,'9397 BOEE'!$B$7:$B$559,$B25,'9397 BOEE'!$A$7:$A$559,$A25)+SUMIFS('2217 Teachers Certs Clearing'!D$7:D$518,'2217 Teachers Certs Clearing'!$B$7:$B$518,$B25,'2217 Teachers Certs Clearing'!$A$7:$A$518,$A25)+SUMIFS('Blank Template'!D$7:D$520,'Blank Template'!$B$7:$B$520,$B25,'Blank Template'!$A$7:$A$520,$A25)</f>
        <v>0</v>
      </c>
      <c r="E25" s="58">
        <f>SUMIFS('9397 BOEE'!E$7:E$559,'9397 BOEE'!$B$7:$B$559,$B25,'9397 BOEE'!$A$7:$A$559,$A25)+SUMIFS('2217 Teachers Certs Clearing'!E$7:E$518,'2217 Teachers Certs Clearing'!$B$7:$B$518,$B25,'2217 Teachers Certs Clearing'!$A$7:$A$518,$A25)+SUMIFS('Blank Template'!E$7:E$520,'Blank Template'!$B$7:$B$520,$B25,'Blank Template'!$A$7:$A$520,$A25)</f>
        <v>0</v>
      </c>
      <c r="F25" s="58">
        <f>SUMIFS('9397 BOEE'!F$7:F$559,'9397 BOEE'!$B$7:$B$559,$B25,'9397 BOEE'!$A$7:$A$559,$A25)+SUMIFS('2217 Teachers Certs Clearing'!F$7:F$518,'2217 Teachers Certs Clearing'!$B$7:$B$518,$B25,'2217 Teachers Certs Clearing'!$A$7:$A$518,$A25)+SUMIFS('Blank Template'!F$7:F$520,'Blank Template'!$B$7:$B$520,$B25,'Blank Template'!$A$7:$A$520,$A25)</f>
        <v>0</v>
      </c>
      <c r="G25" s="58">
        <f>SUMIFS('9397 BOEE'!G$7:G$559,'9397 BOEE'!$B$7:$B$559,$B25,'9397 BOEE'!$A$7:$A$559,$A25)+SUMIFS('2217 Teachers Certs Clearing'!G$7:G$518,'2217 Teachers Certs Clearing'!$B$7:$B$518,$B25,'2217 Teachers Certs Clearing'!$A$7:$A$518,$A25)+SUMIFS('Blank Template'!G$7:G$520,'Blank Template'!$B$7:$B$520,$B25,'Blank Template'!$A$7:$A$520,$A25)</f>
        <v>0</v>
      </c>
      <c r="H25" s="58">
        <f>SUMIFS('9397 BOEE'!H$7:H$559,'9397 BOEE'!$B$7:$B$559,$B25,'9397 BOEE'!$A$7:$A$559,$A25)+SUMIFS('2217 Teachers Certs Clearing'!H$7:H$518,'2217 Teachers Certs Clearing'!$B$7:$B$518,$B25,'2217 Teachers Certs Clearing'!$A$7:$A$518,$A25)+SUMIFS('Blank Template'!H$7:H$520,'Blank Template'!$B$7:$B$520,$B25,'Blank Template'!$A$7:$A$520,$A25)</f>
        <v>0</v>
      </c>
      <c r="I25" s="58">
        <f>SUMIFS('9397 BOEE'!I$7:I$559,'9397 BOEE'!$B$7:$B$559,$B25,'9397 BOEE'!$A$7:$A$559,$A25)+SUMIFS('2217 Teachers Certs Clearing'!I$7:I$518,'2217 Teachers Certs Clearing'!$B$7:$B$518,$B25,'2217 Teachers Certs Clearing'!$A$7:$A$518,$A25)+SUMIFS('Blank Template'!I$7:I$520,'Blank Template'!$B$7:$B$520,$B25,'Blank Template'!$A$7:$A$520,$A25)</f>
        <v>0</v>
      </c>
      <c r="J25" s="58">
        <f>SUMIFS('9397 BOEE'!J$7:J$559,'9397 BOEE'!$B$7:$B$559,$B25,'9397 BOEE'!$A$7:$A$559,$A25)+SUMIFS('2217 Teachers Certs Clearing'!J$7:J$518,'2217 Teachers Certs Clearing'!$B$7:$B$518,$B25,'2217 Teachers Certs Clearing'!$A$7:$A$518,$A25)+SUMIFS('Blank Template'!J$7:J$520,'Blank Template'!$B$7:$B$520,$B25,'Blank Template'!$A$7:$A$520,$A25)</f>
        <v>0</v>
      </c>
      <c r="K25" s="58">
        <f>SUMIFS('9397 BOEE'!K$7:K$559,'9397 BOEE'!$B$7:$B$559,$B25,'9397 BOEE'!$A$7:$A$559,$A25)+SUMIFS('2217 Teachers Certs Clearing'!K$7:K$518,'2217 Teachers Certs Clearing'!$B$7:$B$518,$B25,'2217 Teachers Certs Clearing'!$A$7:$A$518,$A25)+SUMIFS('Blank Template'!K$7:K$520,'Blank Template'!$B$7:$B$520,$B25,'Blank Template'!$A$7:$A$520,$A25)</f>
        <v>0</v>
      </c>
      <c r="L25" s="58">
        <f>SUMIFS('9397 BOEE'!L$7:L$559,'9397 BOEE'!$B$7:$B$559,$B25,'9397 BOEE'!$A$7:$A$559,$A25)+SUMIFS('2217 Teachers Certs Clearing'!L$7:L$518,'2217 Teachers Certs Clearing'!$B$7:$B$518,$B25,'2217 Teachers Certs Clearing'!$A$7:$A$518,$A25)+SUMIFS('Blank Template'!L$7:L$520,'Blank Template'!$B$7:$B$520,$B25,'Blank Template'!$A$7:$A$520,$A25)</f>
        <v>0</v>
      </c>
      <c r="M25" s="58" t="e">
        <f>SUMIFS('9397 BOEE'!M$7:M$560,'9397 BOEE'!$B$7:$B$559,$B25,'9397 BOEE'!$A$7:$A$559,$A25)+SUMIFS('2217 Teachers Certs Clearing'!M$7:M$518,'2217 Teachers Certs Clearing'!$B$7:$B$518,$B25,'2217 Teachers Certs Clearing'!$A$7:$A$518,$A25)+SUMIFS('Blank Template'!M$7:M$520,'Blank Template'!$B$7:$B$520,$B25,'Blank Template'!$A$7:$A$520,$A25)</f>
        <v>#VALUE!</v>
      </c>
      <c r="N25" s="58" t="e">
        <f>SUMIFS('9397 BOEE'!N$7:N$560,'9397 BOEE'!$B$7:$B$559,$B25,'9397 BOEE'!$A$7:$A$559,$A25)+SUMIFS('2217 Teachers Certs Clearing'!N$7:N$518,'2217 Teachers Certs Clearing'!$B$7:$B$518,$B25,'2217 Teachers Certs Clearing'!$A$7:$A$518,$A25)+SUMIFS('Blank Template'!N$7:N$520,'Blank Template'!$B$7:$B$520,$B25,'Blank Template'!$A$7:$A$520,$A25)</f>
        <v>#VALUE!</v>
      </c>
      <c r="O25" s="58" t="e">
        <f>SUMIFS('9397 BOEE'!O$7:O$560,'9397 BOEE'!$B$7:$B$559,$B25,'9397 BOEE'!$A$7:$A$559,$A25)+SUMIFS('2217 Teachers Certs Clearing'!O$7:O$518,'2217 Teachers Certs Clearing'!$B$7:$B$518,$B25,'2217 Teachers Certs Clearing'!$A$7:$A$518,$A25)+SUMIFS('Blank Template'!O$7:O$520,'Blank Template'!$B$7:$B$520,$B25,'Blank Template'!$A$7:$A$520,$A25)</f>
        <v>#VALUE!</v>
      </c>
      <c r="P25" s="58">
        <f>SUMIFS('9397 BOEE'!P$7:P$559,'9397 BOEE'!$B$7:$B$559,$B25,'9397 BOEE'!$A$7:$A$559,$A25)+SUMIFS('2217 Teachers Certs Clearing'!P$7:P$518,'2217 Teachers Certs Clearing'!$B$7:$B$518,$B25,'2217 Teachers Certs Clearing'!$A$7:$A$518,$A25)+SUMIFS('Blank Template'!P$7:P$520,'Blank Template'!$B$7:$B$520,$B25,'Blank Template'!$A$7:$A$520,$A25)</f>
        <v>0</v>
      </c>
      <c r="Q25" s="58">
        <f>SUMIFS('9397 BOEE'!Q$7:Q$559,'9397 BOEE'!$B$7:$B$559,$B25,'9397 BOEE'!$A$7:$A$559,$A25)+SUMIFS('2217 Teachers Certs Clearing'!Q$7:Q$518,'2217 Teachers Certs Clearing'!$B$7:$B$518,$B25,'2217 Teachers Certs Clearing'!$A$7:$A$518,$A25)+SUMIFS('Blank Template'!Q$7:Q$520,'Blank Template'!$B$7:$B$520,$B25,'Blank Template'!$A$7:$A$520,$A25)</f>
        <v>0</v>
      </c>
      <c r="R25" s="58">
        <f>SUMIFS('9397 BOEE'!R$7:R$559,'9397 BOEE'!$B$7:$B$559,$B25,'9397 BOEE'!$A$7:$A$559,$A25)+SUMIFS('2217 Teachers Certs Clearing'!R$7:R$518,'2217 Teachers Certs Clearing'!$B$7:$B$518,$B25,'2217 Teachers Certs Clearing'!$A$7:$A$518,$A25)+SUMIFS('Blank Template'!R$7:R$520,'Blank Template'!$B$7:$B$520,$B25,'Blank Template'!$A$7:$A$520,$A25)</f>
        <v>0</v>
      </c>
      <c r="S25" s="58">
        <f>SUMIFS('9397 BOEE'!S$7:S$559,'9397 BOEE'!$B$7:$B$559,$B25,'9397 BOEE'!$A$7:$A$559,$A25)+SUMIFS('2217 Teachers Certs Clearing'!S$7:S$518,'2217 Teachers Certs Clearing'!$B$7:$B$518,$B25,'2217 Teachers Certs Clearing'!$A$7:$A$518,$A25)+SUMIFS('Blank Template'!S$7:S$520,'Blank Template'!$B$7:$B$520,$B25,'Blank Template'!$A$7:$A$520,$A25)</f>
        <v>0</v>
      </c>
      <c r="T25" s="58" t="e">
        <f t="shared" si="8"/>
        <v>#VALUE!</v>
      </c>
      <c r="U25" s="58">
        <f>SUMIFS('9397 BOEE'!U$7:U$559,'9397 BOEE'!$B$7:$B$559,$B25,'9397 BOEE'!$A$7:$A$559,$A25)+SUMIFS('2217 Teachers Certs Clearing'!U$7:U$518,'2217 Teachers Certs Clearing'!$B$7:$B$518,$B25,'2217 Teachers Certs Clearing'!$A$7:$A$518,$A25)+SUMIFS('Blank Template'!U$7:U$520,'Blank Template'!$B$7:$B$520,$B25,'Blank Template'!$A$7:$A$520,$A25)</f>
        <v>0</v>
      </c>
      <c r="V25" s="71">
        <f t="shared" si="9"/>
        <v>0</v>
      </c>
      <c r="W25" s="71">
        <f t="shared" si="10"/>
        <v>0</v>
      </c>
      <c r="Y25" s="5"/>
      <c r="Z25" s="5"/>
    </row>
    <row r="26" spans="1:26" s="1" customFormat="1" ht="18" customHeight="1" x14ac:dyDescent="0.2">
      <c r="A26" s="57" t="s">
        <v>141</v>
      </c>
      <c r="B26" s="57" t="s">
        <v>142</v>
      </c>
      <c r="C26" s="57"/>
      <c r="D26" s="58">
        <f>SUMIFS('9397 BOEE'!D$7:D$559,'9397 BOEE'!$B$7:$B$559,$B26,'9397 BOEE'!$A$7:$A$559,$A26)+SUMIFS('2217 Teachers Certs Clearing'!D$7:D$518,'2217 Teachers Certs Clearing'!$B$7:$B$518,$B26,'2217 Teachers Certs Clearing'!$A$7:$A$518,$A26)+SUMIFS('Blank Template'!D$7:D$520,'Blank Template'!$B$7:$B$520,$B26,'Blank Template'!$A$7:$A$520,$A26)</f>
        <v>0</v>
      </c>
      <c r="E26" s="58">
        <f>SUMIFS('9397 BOEE'!E$7:E$559,'9397 BOEE'!$B$7:$B$559,$B26,'9397 BOEE'!$A$7:$A$559,$A26)+SUMIFS('2217 Teachers Certs Clearing'!E$7:E$518,'2217 Teachers Certs Clearing'!$B$7:$B$518,$B26,'2217 Teachers Certs Clearing'!$A$7:$A$518,$A26)+SUMIFS('Blank Template'!E$7:E$520,'Blank Template'!$B$7:$B$520,$B26,'Blank Template'!$A$7:$A$520,$A26)</f>
        <v>0</v>
      </c>
      <c r="F26" s="58">
        <f>SUMIFS('9397 BOEE'!F$7:F$559,'9397 BOEE'!$B$7:$B$559,$B26,'9397 BOEE'!$A$7:$A$559,$A26)+SUMIFS('2217 Teachers Certs Clearing'!F$7:F$518,'2217 Teachers Certs Clearing'!$B$7:$B$518,$B26,'2217 Teachers Certs Clearing'!$A$7:$A$518,$A26)+SUMIFS('Blank Template'!F$7:F$520,'Blank Template'!$B$7:$B$520,$B26,'Blank Template'!$A$7:$A$520,$A26)</f>
        <v>0</v>
      </c>
      <c r="G26" s="58">
        <f>SUMIFS('9397 BOEE'!G$7:G$559,'9397 BOEE'!$B$7:$B$559,$B26,'9397 BOEE'!$A$7:$A$559,$A26)+SUMIFS('2217 Teachers Certs Clearing'!G$7:G$518,'2217 Teachers Certs Clearing'!$B$7:$B$518,$B26,'2217 Teachers Certs Clearing'!$A$7:$A$518,$A26)+SUMIFS('Blank Template'!G$7:G$520,'Blank Template'!$B$7:$B$520,$B26,'Blank Template'!$A$7:$A$520,$A26)</f>
        <v>0</v>
      </c>
      <c r="H26" s="58">
        <f>SUMIFS('9397 BOEE'!H$7:H$559,'9397 BOEE'!$B$7:$B$559,$B26,'9397 BOEE'!$A$7:$A$559,$A26)+SUMIFS('2217 Teachers Certs Clearing'!H$7:H$518,'2217 Teachers Certs Clearing'!$B$7:$B$518,$B26,'2217 Teachers Certs Clearing'!$A$7:$A$518,$A26)+SUMIFS('Blank Template'!H$7:H$520,'Blank Template'!$B$7:$B$520,$B26,'Blank Template'!$A$7:$A$520,$A26)</f>
        <v>0</v>
      </c>
      <c r="I26" s="58">
        <f>SUMIFS('9397 BOEE'!I$7:I$559,'9397 BOEE'!$B$7:$B$559,$B26,'9397 BOEE'!$A$7:$A$559,$A26)+SUMIFS('2217 Teachers Certs Clearing'!I$7:I$518,'2217 Teachers Certs Clearing'!$B$7:$B$518,$B26,'2217 Teachers Certs Clearing'!$A$7:$A$518,$A26)+SUMIFS('Blank Template'!I$7:I$520,'Blank Template'!$B$7:$B$520,$B26,'Blank Template'!$A$7:$A$520,$A26)</f>
        <v>0</v>
      </c>
      <c r="J26" s="58">
        <f>SUMIFS('9397 BOEE'!J$7:J$559,'9397 BOEE'!$B$7:$B$559,$B26,'9397 BOEE'!$A$7:$A$559,$A26)+SUMIFS('2217 Teachers Certs Clearing'!J$7:J$518,'2217 Teachers Certs Clearing'!$B$7:$B$518,$B26,'2217 Teachers Certs Clearing'!$A$7:$A$518,$A26)+SUMIFS('Blank Template'!J$7:J$520,'Blank Template'!$B$7:$B$520,$B26,'Blank Template'!$A$7:$A$520,$A26)</f>
        <v>0</v>
      </c>
      <c r="K26" s="58">
        <f>SUMIFS('9397 BOEE'!K$7:K$559,'9397 BOEE'!$B$7:$B$559,$B26,'9397 BOEE'!$A$7:$A$559,$A26)+SUMIFS('2217 Teachers Certs Clearing'!K$7:K$518,'2217 Teachers Certs Clearing'!$B$7:$B$518,$B26,'2217 Teachers Certs Clearing'!$A$7:$A$518,$A26)+SUMIFS('Blank Template'!K$7:K$520,'Blank Template'!$B$7:$B$520,$B26,'Blank Template'!$A$7:$A$520,$A26)</f>
        <v>0</v>
      </c>
      <c r="L26" s="58">
        <f>SUMIFS('9397 BOEE'!L$7:L$559,'9397 BOEE'!$B$7:$B$559,$B26,'9397 BOEE'!$A$7:$A$559,$A26)+SUMIFS('2217 Teachers Certs Clearing'!L$7:L$518,'2217 Teachers Certs Clearing'!$B$7:$B$518,$B26,'2217 Teachers Certs Clearing'!$A$7:$A$518,$A26)+SUMIFS('Blank Template'!L$7:L$520,'Blank Template'!$B$7:$B$520,$B26,'Blank Template'!$A$7:$A$520,$A26)</f>
        <v>0</v>
      </c>
      <c r="M26" s="58" t="e">
        <f>SUMIFS('9397 BOEE'!M$7:M$560,'9397 BOEE'!$B$7:$B$559,$B26,'9397 BOEE'!$A$7:$A$559,$A26)+SUMIFS('2217 Teachers Certs Clearing'!M$7:M$518,'2217 Teachers Certs Clearing'!$B$7:$B$518,$B26,'2217 Teachers Certs Clearing'!$A$7:$A$518,$A26)+SUMIFS('Blank Template'!M$7:M$520,'Blank Template'!$B$7:$B$520,$B26,'Blank Template'!$A$7:$A$520,$A26)</f>
        <v>#VALUE!</v>
      </c>
      <c r="N26" s="58" t="e">
        <f>SUMIFS('9397 BOEE'!N$7:N$560,'9397 BOEE'!$B$7:$B$559,$B26,'9397 BOEE'!$A$7:$A$559,$A26)+SUMIFS('2217 Teachers Certs Clearing'!N$7:N$518,'2217 Teachers Certs Clearing'!$B$7:$B$518,$B26,'2217 Teachers Certs Clearing'!$A$7:$A$518,$A26)+SUMIFS('Blank Template'!N$7:N$520,'Blank Template'!$B$7:$B$520,$B26,'Blank Template'!$A$7:$A$520,$A26)</f>
        <v>#VALUE!</v>
      </c>
      <c r="O26" s="58" t="e">
        <f>SUMIFS('9397 BOEE'!O$7:O$560,'9397 BOEE'!$B$7:$B$559,$B26,'9397 BOEE'!$A$7:$A$559,$A26)+SUMIFS('2217 Teachers Certs Clearing'!O$7:O$518,'2217 Teachers Certs Clearing'!$B$7:$B$518,$B26,'2217 Teachers Certs Clearing'!$A$7:$A$518,$A26)+SUMIFS('Blank Template'!O$7:O$520,'Blank Template'!$B$7:$B$520,$B26,'Blank Template'!$A$7:$A$520,$A26)</f>
        <v>#VALUE!</v>
      </c>
      <c r="P26" s="58">
        <f>SUMIFS('9397 BOEE'!P$7:P$559,'9397 BOEE'!$B$7:$B$559,$B26,'9397 BOEE'!$A$7:$A$559,$A26)+SUMIFS('2217 Teachers Certs Clearing'!P$7:P$518,'2217 Teachers Certs Clearing'!$B$7:$B$518,$B26,'2217 Teachers Certs Clearing'!$A$7:$A$518,$A26)+SUMIFS('Blank Template'!P$7:P$520,'Blank Template'!$B$7:$B$520,$B26,'Blank Template'!$A$7:$A$520,$A26)</f>
        <v>0</v>
      </c>
      <c r="Q26" s="58">
        <f>SUMIFS('9397 BOEE'!Q$7:Q$559,'9397 BOEE'!$B$7:$B$559,$B26,'9397 BOEE'!$A$7:$A$559,$A26)+SUMIFS('2217 Teachers Certs Clearing'!Q$7:Q$518,'2217 Teachers Certs Clearing'!$B$7:$B$518,$B26,'2217 Teachers Certs Clearing'!$A$7:$A$518,$A26)+SUMIFS('Blank Template'!Q$7:Q$520,'Blank Template'!$B$7:$B$520,$B26,'Blank Template'!$A$7:$A$520,$A26)</f>
        <v>0</v>
      </c>
      <c r="R26" s="58">
        <f>SUMIFS('9397 BOEE'!R$7:R$559,'9397 BOEE'!$B$7:$B$559,$B26,'9397 BOEE'!$A$7:$A$559,$A26)+SUMIFS('2217 Teachers Certs Clearing'!R$7:R$518,'2217 Teachers Certs Clearing'!$B$7:$B$518,$B26,'2217 Teachers Certs Clearing'!$A$7:$A$518,$A26)+SUMIFS('Blank Template'!R$7:R$520,'Blank Template'!$B$7:$B$520,$B26,'Blank Template'!$A$7:$A$520,$A26)</f>
        <v>0</v>
      </c>
      <c r="S26" s="58">
        <f>SUMIFS('9397 BOEE'!S$7:S$559,'9397 BOEE'!$B$7:$B$559,$B26,'9397 BOEE'!$A$7:$A$559,$A26)+SUMIFS('2217 Teachers Certs Clearing'!S$7:S$518,'2217 Teachers Certs Clearing'!$B$7:$B$518,$B26,'2217 Teachers Certs Clearing'!$A$7:$A$518,$A26)+SUMIFS('Blank Template'!S$7:S$520,'Blank Template'!$B$7:$B$520,$B26,'Blank Template'!$A$7:$A$520,$A26)</f>
        <v>0</v>
      </c>
      <c r="T26" s="58" t="e">
        <f t="shared" si="8"/>
        <v>#VALUE!</v>
      </c>
      <c r="U26" s="58">
        <f>SUMIFS('9397 BOEE'!U$7:U$559,'9397 BOEE'!$B$7:$B$559,$B26,'9397 BOEE'!$A$7:$A$559,$A26)+SUMIFS('2217 Teachers Certs Clearing'!U$7:U$518,'2217 Teachers Certs Clearing'!$B$7:$B$518,$B26,'2217 Teachers Certs Clearing'!$A$7:$A$518,$A26)+SUMIFS('Blank Template'!U$7:U$520,'Blank Template'!$B$7:$B$520,$B26,'Blank Template'!$A$7:$A$520,$A26)</f>
        <v>0</v>
      </c>
      <c r="V26" s="71">
        <f t="shared" ref="V26" si="15">IF(U26=0,0,SUMIF($D$6:$R$6,$X$2,D26:R26)/U26)</f>
        <v>0</v>
      </c>
      <c r="W26" s="71">
        <f t="shared" ref="W26" si="16">IF(U26=0,0,T26/U26)</f>
        <v>0</v>
      </c>
      <c r="Y26" s="5"/>
      <c r="Z26" s="5"/>
    </row>
    <row r="27" spans="1:26" s="1" customFormat="1" ht="18" customHeight="1" x14ac:dyDescent="0.2">
      <c r="A27" s="57" t="s">
        <v>52</v>
      </c>
      <c r="B27" s="57" t="s">
        <v>53</v>
      </c>
      <c r="C27" s="57"/>
      <c r="D27" s="58">
        <f>SUMIFS('9397 BOEE'!D$7:D$559,'9397 BOEE'!$B$7:$B$559,$B27,'9397 BOEE'!$A$7:$A$559,$A27)+SUMIFS('2217 Teachers Certs Clearing'!D$7:D$518,'2217 Teachers Certs Clearing'!$B$7:$B$518,$B27,'2217 Teachers Certs Clearing'!$A$7:$A$518,$A27)+SUMIFS('Blank Template'!D$7:D$520,'Blank Template'!$B$7:$B$520,$B27,'Blank Template'!$A$7:$A$520,$A27)</f>
        <v>0</v>
      </c>
      <c r="E27" s="58">
        <f>SUMIFS('9397 BOEE'!E$7:E$559,'9397 BOEE'!$B$7:$B$559,$B27,'9397 BOEE'!$A$7:$A$559,$A27)+SUMIFS('2217 Teachers Certs Clearing'!E$7:E$518,'2217 Teachers Certs Clearing'!$B$7:$B$518,$B27,'2217 Teachers Certs Clearing'!$A$7:$A$518,$A27)+SUMIFS('Blank Template'!E$7:E$520,'Blank Template'!$B$7:$B$520,$B27,'Blank Template'!$A$7:$A$520,$A27)</f>
        <v>0</v>
      </c>
      <c r="F27" s="58">
        <f>SUMIFS('9397 BOEE'!F$7:F$559,'9397 BOEE'!$B$7:$B$559,$B27,'9397 BOEE'!$A$7:$A$559,$A27)+SUMIFS('2217 Teachers Certs Clearing'!F$7:F$518,'2217 Teachers Certs Clearing'!$B$7:$B$518,$B27,'2217 Teachers Certs Clearing'!$A$7:$A$518,$A27)+SUMIFS('Blank Template'!F$7:F$520,'Blank Template'!$B$7:$B$520,$B27,'Blank Template'!$A$7:$A$520,$A27)</f>
        <v>0</v>
      </c>
      <c r="G27" s="58">
        <f>SUMIFS('9397 BOEE'!G$7:G$559,'9397 BOEE'!$B$7:$B$559,$B27,'9397 BOEE'!$A$7:$A$559,$A27)+SUMIFS('2217 Teachers Certs Clearing'!G$7:G$518,'2217 Teachers Certs Clearing'!$B$7:$B$518,$B27,'2217 Teachers Certs Clearing'!$A$7:$A$518,$A27)+SUMIFS('Blank Template'!G$7:G$520,'Blank Template'!$B$7:$B$520,$B27,'Blank Template'!$A$7:$A$520,$A27)</f>
        <v>0</v>
      </c>
      <c r="H27" s="58">
        <f>SUMIFS('9397 BOEE'!H$7:H$559,'9397 BOEE'!$B$7:$B$559,$B27,'9397 BOEE'!$A$7:$A$559,$A27)+SUMIFS('2217 Teachers Certs Clearing'!H$7:H$518,'2217 Teachers Certs Clearing'!$B$7:$B$518,$B27,'2217 Teachers Certs Clearing'!$A$7:$A$518,$A27)+SUMIFS('Blank Template'!H$7:H$520,'Blank Template'!$B$7:$B$520,$B27,'Blank Template'!$A$7:$A$520,$A27)</f>
        <v>0</v>
      </c>
      <c r="I27" s="58">
        <f>SUMIFS('9397 BOEE'!I$7:I$559,'9397 BOEE'!$B$7:$B$559,$B27,'9397 BOEE'!$A$7:$A$559,$A27)+SUMIFS('2217 Teachers Certs Clearing'!I$7:I$518,'2217 Teachers Certs Clearing'!$B$7:$B$518,$B27,'2217 Teachers Certs Clearing'!$A$7:$A$518,$A27)+SUMIFS('Blank Template'!I$7:I$520,'Blank Template'!$B$7:$B$520,$B27,'Blank Template'!$A$7:$A$520,$A27)</f>
        <v>0</v>
      </c>
      <c r="J27" s="58">
        <f>SUMIFS('9397 BOEE'!J$7:J$559,'9397 BOEE'!$B$7:$B$559,$B27,'9397 BOEE'!$A$7:$A$559,$A27)+SUMIFS('2217 Teachers Certs Clearing'!J$7:J$518,'2217 Teachers Certs Clearing'!$B$7:$B$518,$B27,'2217 Teachers Certs Clearing'!$A$7:$A$518,$A27)+SUMIFS('Blank Template'!J$7:J$520,'Blank Template'!$B$7:$B$520,$B27,'Blank Template'!$A$7:$A$520,$A27)</f>
        <v>0</v>
      </c>
      <c r="K27" s="58">
        <f>SUMIFS('9397 BOEE'!K$7:K$559,'9397 BOEE'!$B$7:$B$559,$B27,'9397 BOEE'!$A$7:$A$559,$A27)+SUMIFS('2217 Teachers Certs Clearing'!K$7:K$518,'2217 Teachers Certs Clearing'!$B$7:$B$518,$B27,'2217 Teachers Certs Clearing'!$A$7:$A$518,$A27)+SUMIFS('Blank Template'!K$7:K$520,'Blank Template'!$B$7:$B$520,$B27,'Blank Template'!$A$7:$A$520,$A27)</f>
        <v>0</v>
      </c>
      <c r="L27" s="58">
        <f>SUMIFS('9397 BOEE'!L$7:L$559,'9397 BOEE'!$B$7:$B$559,$B27,'9397 BOEE'!$A$7:$A$559,$A27)+SUMIFS('2217 Teachers Certs Clearing'!L$7:L$518,'2217 Teachers Certs Clearing'!$B$7:$B$518,$B27,'2217 Teachers Certs Clearing'!$A$7:$A$518,$A27)+SUMIFS('Blank Template'!L$7:L$520,'Blank Template'!$B$7:$B$520,$B27,'Blank Template'!$A$7:$A$520,$A27)</f>
        <v>0</v>
      </c>
      <c r="M27" s="58" t="e">
        <f>SUMIFS('9397 BOEE'!M$7:M$560,'9397 BOEE'!$B$7:$B$559,$B27,'9397 BOEE'!$A$7:$A$559,$A27)+SUMIFS('2217 Teachers Certs Clearing'!M$7:M$518,'2217 Teachers Certs Clearing'!$B$7:$B$518,$B27,'2217 Teachers Certs Clearing'!$A$7:$A$518,$A27)+SUMIFS('Blank Template'!M$7:M$520,'Blank Template'!$B$7:$B$520,$B27,'Blank Template'!$A$7:$A$520,$A27)</f>
        <v>#VALUE!</v>
      </c>
      <c r="N27" s="58" t="e">
        <f>SUMIFS('9397 BOEE'!N$7:N$560,'9397 BOEE'!$B$7:$B$559,$B27,'9397 BOEE'!$A$7:$A$559,$A27)+SUMIFS('2217 Teachers Certs Clearing'!N$7:N$518,'2217 Teachers Certs Clearing'!$B$7:$B$518,$B27,'2217 Teachers Certs Clearing'!$A$7:$A$518,$A27)+SUMIFS('Blank Template'!N$7:N$520,'Blank Template'!$B$7:$B$520,$B27,'Blank Template'!$A$7:$A$520,$A27)</f>
        <v>#VALUE!</v>
      </c>
      <c r="O27" s="58" t="e">
        <f>SUMIFS('9397 BOEE'!O$7:O$560,'9397 BOEE'!$B$7:$B$559,$B27,'9397 BOEE'!$A$7:$A$559,$A27)+SUMIFS('2217 Teachers Certs Clearing'!O$7:O$518,'2217 Teachers Certs Clearing'!$B$7:$B$518,$B27,'2217 Teachers Certs Clearing'!$A$7:$A$518,$A27)+SUMIFS('Blank Template'!O$7:O$520,'Blank Template'!$B$7:$B$520,$B27,'Blank Template'!$A$7:$A$520,$A27)</f>
        <v>#VALUE!</v>
      </c>
      <c r="P27" s="58">
        <f>SUMIFS('9397 BOEE'!P$7:P$559,'9397 BOEE'!$B$7:$B$559,$B27,'9397 BOEE'!$A$7:$A$559,$A27)+SUMIFS('2217 Teachers Certs Clearing'!P$7:P$518,'2217 Teachers Certs Clearing'!$B$7:$B$518,$B27,'2217 Teachers Certs Clearing'!$A$7:$A$518,$A27)+SUMIFS('Blank Template'!P$7:P$520,'Blank Template'!$B$7:$B$520,$B27,'Blank Template'!$A$7:$A$520,$A27)</f>
        <v>0</v>
      </c>
      <c r="Q27" s="58">
        <f>SUMIFS('9397 BOEE'!Q$7:Q$559,'9397 BOEE'!$B$7:$B$559,$B27,'9397 BOEE'!$A$7:$A$559,$A27)+SUMIFS('2217 Teachers Certs Clearing'!Q$7:Q$518,'2217 Teachers Certs Clearing'!$B$7:$B$518,$B27,'2217 Teachers Certs Clearing'!$A$7:$A$518,$A27)+SUMIFS('Blank Template'!Q$7:Q$520,'Blank Template'!$B$7:$B$520,$B27,'Blank Template'!$A$7:$A$520,$A27)</f>
        <v>0</v>
      </c>
      <c r="R27" s="58">
        <f>SUMIFS('9397 BOEE'!R$7:R$559,'9397 BOEE'!$B$7:$B$559,$B27,'9397 BOEE'!$A$7:$A$559,$A27)+SUMIFS('2217 Teachers Certs Clearing'!R$7:R$518,'2217 Teachers Certs Clearing'!$B$7:$B$518,$B27,'2217 Teachers Certs Clearing'!$A$7:$A$518,$A27)+SUMIFS('Blank Template'!R$7:R$520,'Blank Template'!$B$7:$B$520,$B27,'Blank Template'!$A$7:$A$520,$A27)</f>
        <v>0</v>
      </c>
      <c r="S27" s="58">
        <f>SUMIFS('9397 BOEE'!S$7:S$559,'9397 BOEE'!$B$7:$B$559,$B27,'9397 BOEE'!$A$7:$A$559,$A27)+SUMIFS('2217 Teachers Certs Clearing'!S$7:S$518,'2217 Teachers Certs Clearing'!$B$7:$B$518,$B27,'2217 Teachers Certs Clearing'!$A$7:$A$518,$A27)+SUMIFS('Blank Template'!S$7:S$520,'Blank Template'!$B$7:$B$520,$B27,'Blank Template'!$A$7:$A$520,$A27)</f>
        <v>0</v>
      </c>
      <c r="T27" s="58" t="e">
        <f t="shared" si="8"/>
        <v>#VALUE!</v>
      </c>
      <c r="U27" s="58">
        <f>SUMIFS('9397 BOEE'!U$7:U$559,'9397 BOEE'!$B$7:$B$559,$B27,'9397 BOEE'!$A$7:$A$559,$A27)+SUMIFS('2217 Teachers Certs Clearing'!U$7:U$518,'2217 Teachers Certs Clearing'!$B$7:$B$518,$B27,'2217 Teachers Certs Clearing'!$A$7:$A$518,$A27)+SUMIFS('Blank Template'!U$7:U$520,'Blank Template'!$B$7:$B$520,$B27,'Blank Template'!$A$7:$A$520,$A27)</f>
        <v>0</v>
      </c>
      <c r="V27" s="71">
        <f t="shared" si="9"/>
        <v>0</v>
      </c>
      <c r="W27" s="71">
        <f t="shared" si="10"/>
        <v>0</v>
      </c>
      <c r="Y27" s="5"/>
      <c r="Z27" s="5"/>
    </row>
    <row r="28" spans="1:26" s="1" customFormat="1" ht="18" customHeight="1" x14ac:dyDescent="0.2">
      <c r="A28" s="57" t="s">
        <v>54</v>
      </c>
      <c r="B28" s="57" t="s">
        <v>55</v>
      </c>
      <c r="C28" s="57"/>
      <c r="D28" s="58">
        <f>SUMIFS('9397 BOEE'!D$7:D$559,'9397 BOEE'!$B$7:$B$559,$B28,'9397 BOEE'!$A$7:$A$559,$A28)+SUMIFS('2217 Teachers Certs Clearing'!D$7:D$518,'2217 Teachers Certs Clearing'!$B$7:$B$518,$B28,'2217 Teachers Certs Clearing'!$A$7:$A$518,$A28)+SUMIFS('Blank Template'!D$7:D$520,'Blank Template'!$B$7:$B$520,$B28,'Blank Template'!$A$7:$A$520,$A28)</f>
        <v>0</v>
      </c>
      <c r="E28" s="58">
        <f>SUMIFS('9397 BOEE'!E$7:E$559,'9397 BOEE'!$B$7:$B$559,$B28,'9397 BOEE'!$A$7:$A$559,$A28)+SUMIFS('2217 Teachers Certs Clearing'!E$7:E$518,'2217 Teachers Certs Clearing'!$B$7:$B$518,$B28,'2217 Teachers Certs Clearing'!$A$7:$A$518,$A28)+SUMIFS('Blank Template'!E$7:E$520,'Blank Template'!$B$7:$B$520,$B28,'Blank Template'!$A$7:$A$520,$A28)</f>
        <v>0</v>
      </c>
      <c r="F28" s="58">
        <f>SUMIFS('9397 BOEE'!F$7:F$559,'9397 BOEE'!$B$7:$B$559,$B28,'9397 BOEE'!$A$7:$A$559,$A28)+SUMIFS('2217 Teachers Certs Clearing'!F$7:F$518,'2217 Teachers Certs Clearing'!$B$7:$B$518,$B28,'2217 Teachers Certs Clearing'!$A$7:$A$518,$A28)+SUMIFS('Blank Template'!F$7:F$520,'Blank Template'!$B$7:$B$520,$B28,'Blank Template'!$A$7:$A$520,$A28)</f>
        <v>0</v>
      </c>
      <c r="G28" s="58">
        <f>SUMIFS('9397 BOEE'!G$7:G$559,'9397 BOEE'!$B$7:$B$559,$B28,'9397 BOEE'!$A$7:$A$559,$A28)+SUMIFS('2217 Teachers Certs Clearing'!G$7:G$518,'2217 Teachers Certs Clearing'!$B$7:$B$518,$B28,'2217 Teachers Certs Clearing'!$A$7:$A$518,$A28)+SUMIFS('Blank Template'!G$7:G$520,'Blank Template'!$B$7:$B$520,$B28,'Blank Template'!$A$7:$A$520,$A28)</f>
        <v>0</v>
      </c>
      <c r="H28" s="58">
        <f>SUMIFS('9397 BOEE'!H$7:H$559,'9397 BOEE'!$B$7:$B$559,$B28,'9397 BOEE'!$A$7:$A$559,$A28)+SUMIFS('2217 Teachers Certs Clearing'!H$7:H$518,'2217 Teachers Certs Clearing'!$B$7:$B$518,$B28,'2217 Teachers Certs Clearing'!$A$7:$A$518,$A28)+SUMIFS('Blank Template'!H$7:H$520,'Blank Template'!$B$7:$B$520,$B28,'Blank Template'!$A$7:$A$520,$A28)</f>
        <v>0</v>
      </c>
      <c r="I28" s="58">
        <f>SUMIFS('9397 BOEE'!I$7:I$559,'9397 BOEE'!$B$7:$B$559,$B28,'9397 BOEE'!$A$7:$A$559,$A28)+SUMIFS('2217 Teachers Certs Clearing'!I$7:I$518,'2217 Teachers Certs Clearing'!$B$7:$B$518,$B28,'2217 Teachers Certs Clearing'!$A$7:$A$518,$A28)+SUMIFS('Blank Template'!I$7:I$520,'Blank Template'!$B$7:$B$520,$B28,'Blank Template'!$A$7:$A$520,$A28)</f>
        <v>0</v>
      </c>
      <c r="J28" s="58">
        <f>SUMIFS('9397 BOEE'!J$7:J$559,'9397 BOEE'!$B$7:$B$559,$B28,'9397 BOEE'!$A$7:$A$559,$A28)+SUMIFS('2217 Teachers Certs Clearing'!J$7:J$518,'2217 Teachers Certs Clearing'!$B$7:$B$518,$B28,'2217 Teachers Certs Clearing'!$A$7:$A$518,$A28)+SUMIFS('Blank Template'!J$7:J$520,'Blank Template'!$B$7:$B$520,$B28,'Blank Template'!$A$7:$A$520,$A28)</f>
        <v>40</v>
      </c>
      <c r="K28" s="58">
        <f>SUMIFS('9397 BOEE'!K$7:K$559,'9397 BOEE'!$B$7:$B$559,$B28,'9397 BOEE'!$A$7:$A$559,$A28)+SUMIFS('2217 Teachers Certs Clearing'!K$7:K$518,'2217 Teachers Certs Clearing'!$B$7:$B$518,$B28,'2217 Teachers Certs Clearing'!$A$7:$A$518,$A28)+SUMIFS('Blank Template'!K$7:K$520,'Blank Template'!$B$7:$B$520,$B28,'Blank Template'!$A$7:$A$520,$A28)</f>
        <v>120</v>
      </c>
      <c r="L28" s="58">
        <f>SUMIFS('9397 BOEE'!L$7:L$559,'9397 BOEE'!$B$7:$B$559,$B28,'9397 BOEE'!$A$7:$A$559,$A28)+SUMIFS('2217 Teachers Certs Clearing'!L$7:L$518,'2217 Teachers Certs Clearing'!$B$7:$B$518,$B28,'2217 Teachers Certs Clearing'!$A$7:$A$518,$A28)+SUMIFS('Blank Template'!L$7:L$520,'Blank Template'!$B$7:$B$520,$B28,'Blank Template'!$A$7:$A$520,$A28)</f>
        <v>0</v>
      </c>
      <c r="M28" s="58" t="e">
        <f>SUMIFS('9397 BOEE'!M$7:M$560,'9397 BOEE'!$B$7:$B$559,$B28,'9397 BOEE'!$A$7:$A$559,$A28)+SUMIFS('2217 Teachers Certs Clearing'!M$7:M$518,'2217 Teachers Certs Clearing'!$B$7:$B$518,$B28,'2217 Teachers Certs Clearing'!$A$7:$A$518,$A28)+SUMIFS('Blank Template'!M$7:M$520,'Blank Template'!$B$7:$B$520,$B28,'Blank Template'!$A$7:$A$520,$A28)</f>
        <v>#VALUE!</v>
      </c>
      <c r="N28" s="58" t="e">
        <f>SUMIFS('9397 BOEE'!N$7:N$560,'9397 BOEE'!$B$7:$B$559,$B28,'9397 BOEE'!$A$7:$A$559,$A28)+SUMIFS('2217 Teachers Certs Clearing'!N$7:N$518,'2217 Teachers Certs Clearing'!$B$7:$B$518,$B28,'2217 Teachers Certs Clearing'!$A$7:$A$518,$A28)+SUMIFS('Blank Template'!N$7:N$520,'Blank Template'!$B$7:$B$520,$B28,'Blank Template'!$A$7:$A$520,$A28)</f>
        <v>#VALUE!</v>
      </c>
      <c r="O28" s="58" t="e">
        <f>SUMIFS('9397 BOEE'!O$7:O$560,'9397 BOEE'!$B$7:$B$559,$B28,'9397 BOEE'!$A$7:$A$559,$A28)+SUMIFS('2217 Teachers Certs Clearing'!O$7:O$518,'2217 Teachers Certs Clearing'!$B$7:$B$518,$B28,'2217 Teachers Certs Clearing'!$A$7:$A$518,$A28)+SUMIFS('Blank Template'!O$7:O$520,'Blank Template'!$B$7:$B$520,$B28,'Blank Template'!$A$7:$A$520,$A28)</f>
        <v>#VALUE!</v>
      </c>
      <c r="P28" s="58">
        <f>SUMIFS('9397 BOEE'!P$7:P$559,'9397 BOEE'!$B$7:$B$559,$B28,'9397 BOEE'!$A$7:$A$559,$A28)+SUMIFS('2217 Teachers Certs Clearing'!P$7:P$518,'2217 Teachers Certs Clearing'!$B$7:$B$518,$B28,'2217 Teachers Certs Clearing'!$A$7:$A$518,$A28)+SUMIFS('Blank Template'!P$7:P$520,'Blank Template'!$B$7:$B$520,$B28,'Blank Template'!$A$7:$A$520,$A28)</f>
        <v>0</v>
      </c>
      <c r="Q28" s="58">
        <f>SUMIFS('9397 BOEE'!Q$7:Q$559,'9397 BOEE'!$B$7:$B$559,$B28,'9397 BOEE'!$A$7:$A$559,$A28)+SUMIFS('2217 Teachers Certs Clearing'!Q$7:Q$518,'2217 Teachers Certs Clearing'!$B$7:$B$518,$B28,'2217 Teachers Certs Clearing'!$A$7:$A$518,$A28)+SUMIFS('Blank Template'!Q$7:Q$520,'Blank Template'!$B$7:$B$520,$B28,'Blank Template'!$A$7:$A$520,$A28)</f>
        <v>0</v>
      </c>
      <c r="R28" s="58">
        <f>SUMIFS('9397 BOEE'!R$7:R$559,'9397 BOEE'!$B$7:$B$559,$B28,'9397 BOEE'!$A$7:$A$559,$A28)+SUMIFS('2217 Teachers Certs Clearing'!R$7:R$518,'2217 Teachers Certs Clearing'!$B$7:$B$518,$B28,'2217 Teachers Certs Clearing'!$A$7:$A$518,$A28)+SUMIFS('Blank Template'!R$7:R$520,'Blank Template'!$B$7:$B$520,$B28,'Blank Template'!$A$7:$A$520,$A28)</f>
        <v>0</v>
      </c>
      <c r="S28" s="58">
        <f>SUMIFS('9397 BOEE'!S$7:S$559,'9397 BOEE'!$B$7:$B$559,$B28,'9397 BOEE'!$A$7:$A$559,$A28)+SUMIFS('2217 Teachers Certs Clearing'!S$7:S$518,'2217 Teachers Certs Clearing'!$B$7:$B$518,$B28,'2217 Teachers Certs Clearing'!$A$7:$A$518,$A28)+SUMIFS('Blank Template'!S$7:S$520,'Blank Template'!$B$7:$B$520,$B28,'Blank Template'!$A$7:$A$520,$A28)</f>
        <v>160</v>
      </c>
      <c r="T28" s="58" t="e">
        <f t="shared" si="8"/>
        <v>#VALUE!</v>
      </c>
      <c r="U28" s="58">
        <f>SUMIFS('9397 BOEE'!U$7:U$559,'9397 BOEE'!$B$7:$B$559,$B28,'9397 BOEE'!$A$7:$A$559,$A28)+SUMIFS('2217 Teachers Certs Clearing'!U$7:U$518,'2217 Teachers Certs Clearing'!$B$7:$B$518,$B28,'2217 Teachers Certs Clearing'!$A$7:$A$518,$A28)+SUMIFS('Blank Template'!U$7:U$520,'Blank Template'!$B$7:$B$520,$B28,'Blank Template'!$A$7:$A$520,$A28)</f>
        <v>3500</v>
      </c>
      <c r="V28" s="71">
        <f t="shared" si="9"/>
        <v>0</v>
      </c>
      <c r="W28" s="71" t="e">
        <f t="shared" si="10"/>
        <v>#VALUE!</v>
      </c>
      <c r="Y28" s="5"/>
      <c r="Z28" s="5"/>
    </row>
    <row r="29" spans="1:26" s="1" customFormat="1" ht="18" customHeight="1" x14ac:dyDescent="0.2">
      <c r="A29" s="57" t="s">
        <v>125</v>
      </c>
      <c r="B29" s="57" t="s">
        <v>126</v>
      </c>
      <c r="C29" s="57"/>
      <c r="D29" s="58">
        <f>SUMIFS('9397 BOEE'!D$7:D$559,'9397 BOEE'!$B$7:$B$559,$B29,'9397 BOEE'!$A$7:$A$559,$A29)+SUMIFS('2217 Teachers Certs Clearing'!D$7:D$518,'2217 Teachers Certs Clearing'!$B$7:$B$518,$B29,'2217 Teachers Certs Clearing'!$A$7:$A$518,$A29)+SUMIFS('Blank Template'!D$7:D$520,'Blank Template'!$B$7:$B$520,$B29,'Blank Template'!$A$7:$A$520,$A29)</f>
        <v>0</v>
      </c>
      <c r="E29" s="58">
        <f>SUMIFS('9397 BOEE'!E$7:E$559,'9397 BOEE'!$B$7:$B$559,$B29,'9397 BOEE'!$A$7:$A$559,$A29)+SUMIFS('2217 Teachers Certs Clearing'!E$7:E$518,'2217 Teachers Certs Clearing'!$B$7:$B$518,$B29,'2217 Teachers Certs Clearing'!$A$7:$A$518,$A29)+SUMIFS('Blank Template'!E$7:E$520,'Blank Template'!$B$7:$B$520,$B29,'Blank Template'!$A$7:$A$520,$A29)</f>
        <v>0</v>
      </c>
      <c r="F29" s="58">
        <f>SUMIFS('9397 BOEE'!F$7:F$559,'9397 BOEE'!$B$7:$B$559,$B29,'9397 BOEE'!$A$7:$A$559,$A29)+SUMIFS('2217 Teachers Certs Clearing'!F$7:F$518,'2217 Teachers Certs Clearing'!$B$7:$B$518,$B29,'2217 Teachers Certs Clearing'!$A$7:$A$518,$A29)+SUMIFS('Blank Template'!F$7:F$520,'Blank Template'!$B$7:$B$520,$B29,'Blank Template'!$A$7:$A$520,$A29)</f>
        <v>0</v>
      </c>
      <c r="G29" s="58">
        <f>SUMIFS('9397 BOEE'!G$7:G$559,'9397 BOEE'!$B$7:$B$559,$B29,'9397 BOEE'!$A$7:$A$559,$A29)+SUMIFS('2217 Teachers Certs Clearing'!G$7:G$518,'2217 Teachers Certs Clearing'!$B$7:$B$518,$B29,'2217 Teachers Certs Clearing'!$A$7:$A$518,$A29)+SUMIFS('Blank Template'!G$7:G$520,'Blank Template'!$B$7:$B$520,$B29,'Blank Template'!$A$7:$A$520,$A29)</f>
        <v>0</v>
      </c>
      <c r="H29" s="58">
        <f>SUMIFS('9397 BOEE'!H$7:H$559,'9397 BOEE'!$B$7:$B$559,$B29,'9397 BOEE'!$A$7:$A$559,$A29)+SUMIFS('2217 Teachers Certs Clearing'!H$7:H$518,'2217 Teachers Certs Clearing'!$B$7:$B$518,$B29,'2217 Teachers Certs Clearing'!$A$7:$A$518,$A29)+SUMIFS('Blank Template'!H$7:H$520,'Blank Template'!$B$7:$B$520,$B29,'Blank Template'!$A$7:$A$520,$A29)</f>
        <v>0</v>
      </c>
      <c r="I29" s="58">
        <f>SUMIFS('9397 BOEE'!I$7:I$559,'9397 BOEE'!$B$7:$B$559,$B29,'9397 BOEE'!$A$7:$A$559,$A29)+SUMIFS('2217 Teachers Certs Clearing'!I$7:I$518,'2217 Teachers Certs Clearing'!$B$7:$B$518,$B29,'2217 Teachers Certs Clearing'!$A$7:$A$518,$A29)+SUMIFS('Blank Template'!I$7:I$520,'Blank Template'!$B$7:$B$520,$B29,'Blank Template'!$A$7:$A$520,$A29)</f>
        <v>0</v>
      </c>
      <c r="J29" s="58">
        <f>SUMIFS('9397 BOEE'!J$7:J$559,'9397 BOEE'!$B$7:$B$559,$B29,'9397 BOEE'!$A$7:$A$559,$A29)+SUMIFS('2217 Teachers Certs Clearing'!J$7:J$518,'2217 Teachers Certs Clearing'!$B$7:$B$518,$B29,'2217 Teachers Certs Clearing'!$A$7:$A$518,$A29)+SUMIFS('Blank Template'!J$7:J$520,'Blank Template'!$B$7:$B$520,$B29,'Blank Template'!$A$7:$A$520,$A29)</f>
        <v>0</v>
      </c>
      <c r="K29" s="58">
        <f>SUMIFS('9397 BOEE'!K$7:K$559,'9397 BOEE'!$B$7:$B$559,$B29,'9397 BOEE'!$A$7:$A$559,$A29)+SUMIFS('2217 Teachers Certs Clearing'!K$7:K$518,'2217 Teachers Certs Clearing'!$B$7:$B$518,$B29,'2217 Teachers Certs Clearing'!$A$7:$A$518,$A29)+SUMIFS('Blank Template'!K$7:K$520,'Blank Template'!$B$7:$B$520,$B29,'Blank Template'!$A$7:$A$520,$A29)</f>
        <v>0</v>
      </c>
      <c r="L29" s="58">
        <f>SUMIFS('9397 BOEE'!L$7:L$559,'9397 BOEE'!$B$7:$B$559,$B29,'9397 BOEE'!$A$7:$A$559,$A29)+SUMIFS('2217 Teachers Certs Clearing'!L$7:L$518,'2217 Teachers Certs Clearing'!$B$7:$B$518,$B29,'2217 Teachers Certs Clearing'!$A$7:$A$518,$A29)+SUMIFS('Blank Template'!L$7:L$520,'Blank Template'!$B$7:$B$520,$B29,'Blank Template'!$A$7:$A$520,$A29)</f>
        <v>0</v>
      </c>
      <c r="M29" s="58" t="e">
        <f>SUMIFS('9397 BOEE'!M$7:M$560,'9397 BOEE'!$B$7:$B$559,$B29,'9397 BOEE'!$A$7:$A$559,$A29)+SUMIFS('2217 Teachers Certs Clearing'!M$7:M$518,'2217 Teachers Certs Clearing'!$B$7:$B$518,$B29,'2217 Teachers Certs Clearing'!$A$7:$A$518,$A29)+SUMIFS('Blank Template'!M$7:M$520,'Blank Template'!$B$7:$B$520,$B29,'Blank Template'!$A$7:$A$520,$A29)</f>
        <v>#VALUE!</v>
      </c>
      <c r="N29" s="58" t="e">
        <f>SUMIFS('9397 BOEE'!N$7:N$560,'9397 BOEE'!$B$7:$B$559,$B29,'9397 BOEE'!$A$7:$A$559,$A29)+SUMIFS('2217 Teachers Certs Clearing'!N$7:N$518,'2217 Teachers Certs Clearing'!$B$7:$B$518,$B29,'2217 Teachers Certs Clearing'!$A$7:$A$518,$A29)+SUMIFS('Blank Template'!N$7:N$520,'Blank Template'!$B$7:$B$520,$B29,'Blank Template'!$A$7:$A$520,$A29)</f>
        <v>#VALUE!</v>
      </c>
      <c r="O29" s="58" t="e">
        <f>SUMIFS('9397 BOEE'!O$7:O$560,'9397 BOEE'!$B$7:$B$559,$B29,'9397 BOEE'!$A$7:$A$559,$A29)+SUMIFS('2217 Teachers Certs Clearing'!O$7:O$518,'2217 Teachers Certs Clearing'!$B$7:$B$518,$B29,'2217 Teachers Certs Clearing'!$A$7:$A$518,$A29)+SUMIFS('Blank Template'!O$7:O$520,'Blank Template'!$B$7:$B$520,$B29,'Blank Template'!$A$7:$A$520,$A29)</f>
        <v>#VALUE!</v>
      </c>
      <c r="P29" s="58">
        <f>SUMIFS('9397 BOEE'!P$7:P$559,'9397 BOEE'!$B$7:$B$559,$B29,'9397 BOEE'!$A$7:$A$559,$A29)+SUMIFS('2217 Teachers Certs Clearing'!P$7:P$518,'2217 Teachers Certs Clearing'!$B$7:$B$518,$B29,'2217 Teachers Certs Clearing'!$A$7:$A$518,$A29)+SUMIFS('Blank Template'!P$7:P$520,'Blank Template'!$B$7:$B$520,$B29,'Blank Template'!$A$7:$A$520,$A29)</f>
        <v>0</v>
      </c>
      <c r="Q29" s="58">
        <f>SUMIFS('9397 BOEE'!Q$7:Q$559,'9397 BOEE'!$B$7:$B$559,$B29,'9397 BOEE'!$A$7:$A$559,$A29)+SUMIFS('2217 Teachers Certs Clearing'!Q$7:Q$518,'2217 Teachers Certs Clearing'!$B$7:$B$518,$B29,'2217 Teachers Certs Clearing'!$A$7:$A$518,$A29)+SUMIFS('Blank Template'!Q$7:Q$520,'Blank Template'!$B$7:$B$520,$B29,'Blank Template'!$A$7:$A$520,$A29)</f>
        <v>0</v>
      </c>
      <c r="R29" s="58">
        <f>SUMIFS('9397 BOEE'!R$7:R$559,'9397 BOEE'!$B$7:$B$559,$B29,'9397 BOEE'!$A$7:$A$559,$A29)+SUMIFS('2217 Teachers Certs Clearing'!R$7:R$518,'2217 Teachers Certs Clearing'!$B$7:$B$518,$B29,'2217 Teachers Certs Clearing'!$A$7:$A$518,$A29)+SUMIFS('Blank Template'!R$7:R$520,'Blank Template'!$B$7:$B$520,$B29,'Blank Template'!$A$7:$A$520,$A29)</f>
        <v>0</v>
      </c>
      <c r="S29" s="58">
        <f>SUMIFS('9397 BOEE'!S$7:S$559,'9397 BOEE'!$B$7:$B$559,$B29,'9397 BOEE'!$A$7:$A$559,$A29)+SUMIFS('2217 Teachers Certs Clearing'!S$7:S$518,'2217 Teachers Certs Clearing'!$B$7:$B$518,$B29,'2217 Teachers Certs Clearing'!$A$7:$A$518,$A29)+SUMIFS('Blank Template'!S$7:S$520,'Blank Template'!$B$7:$B$520,$B29,'Blank Template'!$A$7:$A$520,$A29)</f>
        <v>0</v>
      </c>
      <c r="T29" s="58" t="e">
        <f t="shared" ref="T29" si="17">SUM(D29:R29)</f>
        <v>#VALUE!</v>
      </c>
      <c r="U29" s="58">
        <f>SUMIFS('9397 BOEE'!U$7:U$559,'9397 BOEE'!$B$7:$B$559,$B29,'9397 BOEE'!$A$7:$A$559,$A29)+SUMIFS('2217 Teachers Certs Clearing'!U$7:U$518,'2217 Teachers Certs Clearing'!$B$7:$B$518,$B29,'2217 Teachers Certs Clearing'!$A$7:$A$518,$A29)+SUMIFS('Blank Template'!U$7:U$520,'Blank Template'!$B$7:$B$520,$B29,'Blank Template'!$A$7:$A$520,$A29)</f>
        <v>0</v>
      </c>
      <c r="V29" s="71">
        <f>IF(U29=0,0,SUMIF($D$6:$R$6,$X$2,D29:R29)/U29)</f>
        <v>0</v>
      </c>
      <c r="W29" s="71">
        <f>IF(U29=0,0,T29/U29)</f>
        <v>0</v>
      </c>
      <c r="Y29" s="5"/>
      <c r="Z29" s="5"/>
    </row>
    <row r="30" spans="1:26" s="1" customFormat="1" ht="18" customHeight="1" x14ac:dyDescent="0.2">
      <c r="A30" s="57" t="s">
        <v>56</v>
      </c>
      <c r="B30" s="57" t="s">
        <v>57</v>
      </c>
      <c r="C30" s="57"/>
      <c r="D30" s="58">
        <f>SUMIFS('9397 BOEE'!D$7:D$559,'9397 BOEE'!$B$7:$B$559,$B30,'9397 BOEE'!$A$7:$A$559,$A30)+SUMIFS('2217 Teachers Certs Clearing'!D$7:D$518,'2217 Teachers Certs Clearing'!$B$7:$B$518,$B30,'2217 Teachers Certs Clearing'!$A$7:$A$518,$A30)+SUMIFS('Blank Template'!D$7:D$520,'Blank Template'!$B$7:$B$520,$B30,'Blank Template'!$A$7:$A$520,$A30)</f>
        <v>0</v>
      </c>
      <c r="E30" s="58">
        <f>SUMIFS('9397 BOEE'!E$7:E$559,'9397 BOEE'!$B$7:$B$559,$B30,'9397 BOEE'!$A$7:$A$559,$A30)+SUMIFS('2217 Teachers Certs Clearing'!E$7:E$518,'2217 Teachers Certs Clearing'!$B$7:$B$518,$B30,'2217 Teachers Certs Clearing'!$A$7:$A$518,$A30)+SUMIFS('Blank Template'!E$7:E$520,'Blank Template'!$B$7:$B$520,$B30,'Blank Template'!$A$7:$A$520,$A30)</f>
        <v>261.02</v>
      </c>
      <c r="F30" s="58">
        <f>SUMIFS('9397 BOEE'!F$7:F$559,'9397 BOEE'!$B$7:$B$559,$B30,'9397 BOEE'!$A$7:$A$559,$A30)+SUMIFS('2217 Teachers Certs Clearing'!F$7:F$518,'2217 Teachers Certs Clearing'!$B$7:$B$518,$B30,'2217 Teachers Certs Clearing'!$A$7:$A$518,$A30)+SUMIFS('Blank Template'!F$7:F$520,'Blank Template'!$B$7:$B$520,$B30,'Blank Template'!$A$7:$A$520,$A30)</f>
        <v>803.22</v>
      </c>
      <c r="G30" s="58">
        <f>SUMIFS('9397 BOEE'!G$7:G$559,'9397 BOEE'!$B$7:$B$559,$B30,'9397 BOEE'!$A$7:$A$559,$A30)+SUMIFS('2217 Teachers Certs Clearing'!G$7:G$518,'2217 Teachers Certs Clearing'!$B$7:$B$518,$B30,'2217 Teachers Certs Clearing'!$A$7:$A$518,$A30)+SUMIFS('Blank Template'!G$7:G$520,'Blank Template'!$B$7:$B$520,$B30,'Blank Template'!$A$7:$A$520,$A30)</f>
        <v>627.64</v>
      </c>
      <c r="H30" s="58">
        <f>SUMIFS('9397 BOEE'!H$7:H$559,'9397 BOEE'!$B$7:$B$559,$B30,'9397 BOEE'!$A$7:$A$559,$A30)+SUMIFS('2217 Teachers Certs Clearing'!H$7:H$518,'2217 Teachers Certs Clearing'!$B$7:$B$518,$B30,'2217 Teachers Certs Clearing'!$A$7:$A$518,$A30)+SUMIFS('Blank Template'!H$7:H$520,'Blank Template'!$B$7:$B$520,$B30,'Blank Template'!$A$7:$A$520,$A30)</f>
        <v>382.58</v>
      </c>
      <c r="I30" s="58">
        <f>SUMIFS('9397 BOEE'!I$7:I$559,'9397 BOEE'!$B$7:$B$559,$B30,'9397 BOEE'!$A$7:$A$559,$A30)+SUMIFS('2217 Teachers Certs Clearing'!I$7:I$518,'2217 Teachers Certs Clearing'!$B$7:$B$518,$B30,'2217 Teachers Certs Clearing'!$A$7:$A$518,$A30)+SUMIFS('Blank Template'!I$7:I$520,'Blank Template'!$B$7:$B$520,$B30,'Blank Template'!$A$7:$A$520,$A30)</f>
        <v>410.07</v>
      </c>
      <c r="J30" s="58">
        <f>SUMIFS('9397 BOEE'!J$7:J$559,'9397 BOEE'!$B$7:$B$559,$B30,'9397 BOEE'!$A$7:$A$559,$A30)+SUMIFS('2217 Teachers Certs Clearing'!J$7:J$518,'2217 Teachers Certs Clearing'!$B$7:$B$518,$B30,'2217 Teachers Certs Clearing'!$A$7:$A$518,$A30)+SUMIFS('Blank Template'!J$7:J$520,'Blank Template'!$B$7:$B$520,$B30,'Blank Template'!$A$7:$A$520,$A30)</f>
        <v>485</v>
      </c>
      <c r="K30" s="58">
        <f>SUMIFS('9397 BOEE'!K$7:K$559,'9397 BOEE'!$B$7:$B$559,$B30,'9397 BOEE'!$A$7:$A$559,$A30)+SUMIFS('2217 Teachers Certs Clearing'!K$7:K$518,'2217 Teachers Certs Clearing'!$B$7:$B$518,$B30,'2217 Teachers Certs Clearing'!$A$7:$A$518,$A30)+SUMIFS('Blank Template'!K$7:K$520,'Blank Template'!$B$7:$B$520,$B30,'Blank Template'!$A$7:$A$520,$A30)</f>
        <v>275.67</v>
      </c>
      <c r="L30" s="58">
        <f>SUMIFS('9397 BOEE'!L$7:L$559,'9397 BOEE'!$B$7:$B$559,$B30,'9397 BOEE'!$A$7:$A$559,$A30)+SUMIFS('2217 Teachers Certs Clearing'!L$7:L$518,'2217 Teachers Certs Clearing'!$B$7:$B$518,$B30,'2217 Teachers Certs Clearing'!$A$7:$A$518,$A30)+SUMIFS('Blank Template'!L$7:L$520,'Blank Template'!$B$7:$B$520,$B30,'Blank Template'!$A$7:$A$520,$A30)</f>
        <v>0</v>
      </c>
      <c r="M30" s="58" t="e">
        <f>SUMIFS('9397 BOEE'!M$7:M$560,'9397 BOEE'!$B$7:$B$559,$B30,'9397 BOEE'!$A$7:$A$559,$A30)+SUMIFS('2217 Teachers Certs Clearing'!M$7:M$518,'2217 Teachers Certs Clearing'!$B$7:$B$518,$B30,'2217 Teachers Certs Clearing'!$A$7:$A$518,$A30)+SUMIFS('Blank Template'!M$7:M$520,'Blank Template'!$B$7:$B$520,$B30,'Blank Template'!$A$7:$A$520,$A30)</f>
        <v>#VALUE!</v>
      </c>
      <c r="N30" s="58" t="e">
        <f>SUMIFS('9397 BOEE'!N$7:N$560,'9397 BOEE'!$B$7:$B$559,$B30,'9397 BOEE'!$A$7:$A$559,$A30)+SUMIFS('2217 Teachers Certs Clearing'!N$7:N$518,'2217 Teachers Certs Clearing'!$B$7:$B$518,$B30,'2217 Teachers Certs Clearing'!$A$7:$A$518,$A30)+SUMIFS('Blank Template'!N$7:N$520,'Blank Template'!$B$7:$B$520,$B30,'Blank Template'!$A$7:$A$520,$A30)</f>
        <v>#VALUE!</v>
      </c>
      <c r="O30" s="58" t="e">
        <f>SUMIFS('9397 BOEE'!O$7:O$560,'9397 BOEE'!$B$7:$B$559,$B30,'9397 BOEE'!$A$7:$A$559,$A30)+SUMIFS('2217 Teachers Certs Clearing'!O$7:O$518,'2217 Teachers Certs Clearing'!$B$7:$B$518,$B30,'2217 Teachers Certs Clearing'!$A$7:$A$518,$A30)+SUMIFS('Blank Template'!O$7:O$520,'Blank Template'!$B$7:$B$520,$B30,'Blank Template'!$A$7:$A$520,$A30)</f>
        <v>#VALUE!</v>
      </c>
      <c r="P30" s="58">
        <f>SUMIFS('9397 BOEE'!P$7:P$559,'9397 BOEE'!$B$7:$B$559,$B30,'9397 BOEE'!$A$7:$A$559,$A30)+SUMIFS('2217 Teachers Certs Clearing'!P$7:P$518,'2217 Teachers Certs Clearing'!$B$7:$B$518,$B30,'2217 Teachers Certs Clearing'!$A$7:$A$518,$A30)+SUMIFS('Blank Template'!P$7:P$520,'Blank Template'!$B$7:$B$520,$B30,'Blank Template'!$A$7:$A$520,$A30)</f>
        <v>0</v>
      </c>
      <c r="Q30" s="58">
        <f>SUMIFS('9397 BOEE'!Q$7:Q$559,'9397 BOEE'!$B$7:$B$559,$B30,'9397 BOEE'!$A$7:$A$559,$A30)+SUMIFS('2217 Teachers Certs Clearing'!Q$7:Q$518,'2217 Teachers Certs Clearing'!$B$7:$B$518,$B30,'2217 Teachers Certs Clearing'!$A$7:$A$518,$A30)+SUMIFS('Blank Template'!Q$7:Q$520,'Blank Template'!$B$7:$B$520,$B30,'Blank Template'!$A$7:$A$520,$A30)</f>
        <v>0</v>
      </c>
      <c r="R30" s="58">
        <f>SUMIFS('9397 BOEE'!R$7:R$559,'9397 BOEE'!$B$7:$B$559,$B30,'9397 BOEE'!$A$7:$A$559,$A30)+SUMIFS('2217 Teachers Certs Clearing'!R$7:R$518,'2217 Teachers Certs Clearing'!$B$7:$B$518,$B30,'2217 Teachers Certs Clearing'!$A$7:$A$518,$A30)+SUMIFS('Blank Template'!R$7:R$520,'Blank Template'!$B$7:$B$520,$B30,'Blank Template'!$A$7:$A$520,$A30)</f>
        <v>0</v>
      </c>
      <c r="S30" s="58">
        <f>SUMIFS('9397 BOEE'!S$7:S$559,'9397 BOEE'!$B$7:$B$559,$B30,'9397 BOEE'!$A$7:$A$559,$A30)+SUMIFS('2217 Teachers Certs Clearing'!S$7:S$518,'2217 Teachers Certs Clearing'!$B$7:$B$518,$B30,'2217 Teachers Certs Clearing'!$A$7:$A$518,$A30)+SUMIFS('Blank Template'!S$7:S$520,'Blank Template'!$B$7:$B$520,$B30,'Blank Template'!$A$7:$A$520,$A30)</f>
        <v>3245.2000000000003</v>
      </c>
      <c r="T30" s="58" t="e">
        <f t="shared" si="8"/>
        <v>#VALUE!</v>
      </c>
      <c r="U30" s="58">
        <f>SUMIFS('9397 BOEE'!U$7:U$559,'9397 BOEE'!$B$7:$B$559,$B30,'9397 BOEE'!$A$7:$A$559,$A30)+SUMIFS('2217 Teachers Certs Clearing'!U$7:U$518,'2217 Teachers Certs Clearing'!$B$7:$B$518,$B30,'2217 Teachers Certs Clearing'!$A$7:$A$518,$A30)+SUMIFS('Blank Template'!U$7:U$520,'Blank Template'!$B$7:$B$520,$B30,'Blank Template'!$A$7:$A$520,$A30)</f>
        <v>12500</v>
      </c>
      <c r="V30" s="71">
        <f t="shared" si="9"/>
        <v>0</v>
      </c>
      <c r="W30" s="71" t="e">
        <f t="shared" si="10"/>
        <v>#VALUE!</v>
      </c>
      <c r="Y30" s="5"/>
      <c r="Z30" s="5"/>
    </row>
    <row r="31" spans="1:26" s="1" customFormat="1" ht="18" customHeight="1" x14ac:dyDescent="0.2">
      <c r="A31" s="57" t="s">
        <v>58</v>
      </c>
      <c r="B31" s="57" t="s">
        <v>59</v>
      </c>
      <c r="C31" s="57"/>
      <c r="D31" s="58">
        <f>SUMIFS('9397 BOEE'!D$7:D$559,'9397 BOEE'!$B$7:$B$559,$B31,'9397 BOEE'!$A$7:$A$559,$A31)+SUMIFS('2217 Teachers Certs Clearing'!D$7:D$518,'2217 Teachers Certs Clearing'!$B$7:$B$518,$B31,'2217 Teachers Certs Clearing'!$A$7:$A$518,$A31)+SUMIFS('Blank Template'!D$7:D$520,'Blank Template'!$B$7:$B$520,$B31,'Blank Template'!$A$7:$A$520,$A31)</f>
        <v>0</v>
      </c>
      <c r="E31" s="58">
        <f>SUMIFS('9397 BOEE'!E$7:E$559,'9397 BOEE'!$B$7:$B$559,$B31,'9397 BOEE'!$A$7:$A$559,$A31)+SUMIFS('2217 Teachers Certs Clearing'!E$7:E$518,'2217 Teachers Certs Clearing'!$B$7:$B$518,$B31,'2217 Teachers Certs Clearing'!$A$7:$A$518,$A31)+SUMIFS('Blank Template'!E$7:E$520,'Blank Template'!$B$7:$B$520,$B31,'Blank Template'!$A$7:$A$520,$A31)</f>
        <v>1619.41</v>
      </c>
      <c r="F31" s="58">
        <f>SUMIFS('9397 BOEE'!F$7:F$559,'9397 BOEE'!$B$7:$B$559,$B31,'9397 BOEE'!$A$7:$A$559,$A31)+SUMIFS('2217 Teachers Certs Clearing'!F$7:F$518,'2217 Teachers Certs Clearing'!$B$7:$B$518,$B31,'2217 Teachers Certs Clearing'!$A$7:$A$518,$A31)+SUMIFS('Blank Template'!F$7:F$520,'Blank Template'!$B$7:$B$520,$B31,'Blank Template'!$A$7:$A$520,$A31)</f>
        <v>1616.28</v>
      </c>
      <c r="G31" s="58">
        <f>SUMIFS('9397 BOEE'!G$7:G$559,'9397 BOEE'!$B$7:$B$559,$B31,'9397 BOEE'!$A$7:$A$559,$A31)+SUMIFS('2217 Teachers Certs Clearing'!G$7:G$518,'2217 Teachers Certs Clearing'!$B$7:$B$518,$B31,'2217 Teachers Certs Clearing'!$A$7:$A$518,$A31)+SUMIFS('Blank Template'!G$7:G$520,'Blank Template'!$B$7:$B$520,$B31,'Blank Template'!$A$7:$A$520,$A31)</f>
        <v>894</v>
      </c>
      <c r="H31" s="58">
        <f>SUMIFS('9397 BOEE'!H$7:H$559,'9397 BOEE'!$B$7:$B$559,$B31,'9397 BOEE'!$A$7:$A$559,$A31)+SUMIFS('2217 Teachers Certs Clearing'!H$7:H$518,'2217 Teachers Certs Clearing'!$B$7:$B$518,$B31,'2217 Teachers Certs Clearing'!$A$7:$A$518,$A31)+SUMIFS('Blank Template'!H$7:H$520,'Blank Template'!$B$7:$B$520,$B31,'Blank Template'!$A$7:$A$520,$A31)</f>
        <v>1641.78</v>
      </c>
      <c r="I31" s="58">
        <f>SUMIFS('9397 BOEE'!I$7:I$559,'9397 BOEE'!$B$7:$B$559,$B31,'9397 BOEE'!$A$7:$A$559,$A31)+SUMIFS('2217 Teachers Certs Clearing'!I$7:I$518,'2217 Teachers Certs Clearing'!$B$7:$B$518,$B31,'2217 Teachers Certs Clearing'!$A$7:$A$518,$A31)+SUMIFS('Blank Template'!I$7:I$520,'Blank Template'!$B$7:$B$520,$B31,'Blank Template'!$A$7:$A$520,$A31)</f>
        <v>1384.34</v>
      </c>
      <c r="J31" s="58">
        <f>SUMIFS('9397 BOEE'!J$7:J$559,'9397 BOEE'!$B$7:$B$559,$B31,'9397 BOEE'!$A$7:$A$559,$A31)+SUMIFS('2217 Teachers Certs Clearing'!J$7:J$518,'2217 Teachers Certs Clearing'!$B$7:$B$518,$B31,'2217 Teachers Certs Clearing'!$A$7:$A$518,$A31)+SUMIFS('Blank Template'!J$7:J$520,'Blank Template'!$B$7:$B$520,$B31,'Blank Template'!$A$7:$A$520,$A31)</f>
        <v>1702.07</v>
      </c>
      <c r="K31" s="58">
        <f>SUMIFS('9397 BOEE'!K$7:K$559,'9397 BOEE'!$B$7:$B$559,$B31,'9397 BOEE'!$A$7:$A$559,$A31)+SUMIFS('2217 Teachers Certs Clearing'!K$7:K$518,'2217 Teachers Certs Clearing'!$B$7:$B$518,$B31,'2217 Teachers Certs Clearing'!$A$7:$A$518,$A31)+SUMIFS('Blank Template'!K$7:K$520,'Blank Template'!$B$7:$B$520,$B31,'Blank Template'!$A$7:$A$520,$A31)</f>
        <v>894</v>
      </c>
      <c r="L31" s="58">
        <f>SUMIFS('9397 BOEE'!L$7:L$559,'9397 BOEE'!$B$7:$B$559,$B31,'9397 BOEE'!$A$7:$A$559,$A31)+SUMIFS('2217 Teachers Certs Clearing'!L$7:L$518,'2217 Teachers Certs Clearing'!$B$7:$B$518,$B31,'2217 Teachers Certs Clearing'!$A$7:$A$518,$A31)+SUMIFS('Blank Template'!L$7:L$520,'Blank Template'!$B$7:$B$520,$B31,'Blank Template'!$A$7:$A$520,$A31)</f>
        <v>0</v>
      </c>
      <c r="M31" s="58" t="e">
        <f>SUMIFS('9397 BOEE'!M$7:M$560,'9397 BOEE'!$B$7:$B$559,$B31,'9397 BOEE'!$A$7:$A$559,$A31)+SUMIFS('2217 Teachers Certs Clearing'!M$7:M$518,'2217 Teachers Certs Clearing'!$B$7:$B$518,$B31,'2217 Teachers Certs Clearing'!$A$7:$A$518,$A31)+SUMIFS('Blank Template'!M$7:M$520,'Blank Template'!$B$7:$B$520,$B31,'Blank Template'!$A$7:$A$520,$A31)</f>
        <v>#VALUE!</v>
      </c>
      <c r="N31" s="58" t="e">
        <f>SUMIFS('9397 BOEE'!N$7:N$560,'9397 BOEE'!$B$7:$B$559,$B31,'9397 BOEE'!$A$7:$A$559,$A31)+SUMIFS('2217 Teachers Certs Clearing'!N$7:N$518,'2217 Teachers Certs Clearing'!$B$7:$B$518,$B31,'2217 Teachers Certs Clearing'!$A$7:$A$518,$A31)+SUMIFS('Blank Template'!N$7:N$520,'Blank Template'!$B$7:$B$520,$B31,'Blank Template'!$A$7:$A$520,$A31)</f>
        <v>#VALUE!</v>
      </c>
      <c r="O31" s="58" t="e">
        <f>SUMIFS('9397 BOEE'!O$7:O$560,'9397 BOEE'!$B$7:$B$559,$B31,'9397 BOEE'!$A$7:$A$559,$A31)+SUMIFS('2217 Teachers Certs Clearing'!O$7:O$518,'2217 Teachers Certs Clearing'!$B$7:$B$518,$B31,'2217 Teachers Certs Clearing'!$A$7:$A$518,$A31)+SUMIFS('Blank Template'!O$7:O$520,'Blank Template'!$B$7:$B$520,$B31,'Blank Template'!$A$7:$A$520,$A31)</f>
        <v>#VALUE!</v>
      </c>
      <c r="P31" s="58">
        <f>SUMIFS('9397 BOEE'!P$7:P$559,'9397 BOEE'!$B$7:$B$559,$B31,'9397 BOEE'!$A$7:$A$559,$A31)+SUMIFS('2217 Teachers Certs Clearing'!P$7:P$518,'2217 Teachers Certs Clearing'!$B$7:$B$518,$B31,'2217 Teachers Certs Clearing'!$A$7:$A$518,$A31)+SUMIFS('Blank Template'!P$7:P$520,'Blank Template'!$B$7:$B$520,$B31,'Blank Template'!$A$7:$A$520,$A31)</f>
        <v>0</v>
      </c>
      <c r="Q31" s="58">
        <f>SUMIFS('9397 BOEE'!Q$7:Q$559,'9397 BOEE'!$B$7:$B$559,$B31,'9397 BOEE'!$A$7:$A$559,$A31)+SUMIFS('2217 Teachers Certs Clearing'!Q$7:Q$518,'2217 Teachers Certs Clearing'!$B$7:$B$518,$B31,'2217 Teachers Certs Clearing'!$A$7:$A$518,$A31)+SUMIFS('Blank Template'!Q$7:Q$520,'Blank Template'!$B$7:$B$520,$B31,'Blank Template'!$A$7:$A$520,$A31)</f>
        <v>0</v>
      </c>
      <c r="R31" s="58">
        <f>SUMIFS('9397 BOEE'!R$7:R$559,'9397 BOEE'!$B$7:$B$559,$B31,'9397 BOEE'!$A$7:$A$559,$A31)+SUMIFS('2217 Teachers Certs Clearing'!R$7:R$518,'2217 Teachers Certs Clearing'!$B$7:$B$518,$B31,'2217 Teachers Certs Clearing'!$A$7:$A$518,$A31)+SUMIFS('Blank Template'!R$7:R$520,'Blank Template'!$B$7:$B$520,$B31,'Blank Template'!$A$7:$A$520,$A31)</f>
        <v>0</v>
      </c>
      <c r="S31" s="58">
        <f>SUMIFS('9397 BOEE'!S$7:S$559,'9397 BOEE'!$B$7:$B$559,$B31,'9397 BOEE'!$A$7:$A$559,$A31)+SUMIFS('2217 Teachers Certs Clearing'!S$7:S$518,'2217 Teachers Certs Clearing'!$B$7:$B$518,$B31,'2217 Teachers Certs Clearing'!$A$7:$A$518,$A31)+SUMIFS('Blank Template'!S$7:S$520,'Blank Template'!$B$7:$B$520,$B31,'Blank Template'!$A$7:$A$520,$A31)</f>
        <v>9751.880000000001</v>
      </c>
      <c r="T31" s="58" t="e">
        <f t="shared" si="8"/>
        <v>#VALUE!</v>
      </c>
      <c r="U31" s="58">
        <f>SUMIFS('9397 BOEE'!U$7:U$559,'9397 BOEE'!$B$7:$B$559,$B31,'9397 BOEE'!$A$7:$A$559,$A31)+SUMIFS('2217 Teachers Certs Clearing'!U$7:U$518,'2217 Teachers Certs Clearing'!$B$7:$B$518,$B31,'2217 Teachers Certs Clearing'!$A$7:$A$518,$A31)+SUMIFS('Blank Template'!U$7:U$520,'Blank Template'!$B$7:$B$520,$B31,'Blank Template'!$A$7:$A$520,$A31)</f>
        <v>20000.11</v>
      </c>
      <c r="V31" s="71">
        <f t="shared" si="9"/>
        <v>0</v>
      </c>
      <c r="W31" s="71" t="e">
        <f t="shared" si="10"/>
        <v>#VALUE!</v>
      </c>
      <c r="Y31" s="5"/>
      <c r="Z31" s="5"/>
    </row>
    <row r="32" spans="1:26" s="1" customFormat="1" ht="18" customHeight="1" x14ac:dyDescent="0.2">
      <c r="A32" s="57" t="s">
        <v>60</v>
      </c>
      <c r="B32" s="57" t="s">
        <v>61</v>
      </c>
      <c r="C32" s="57"/>
      <c r="D32" s="58">
        <f>SUMIFS('9397 BOEE'!D$7:D$559,'9397 BOEE'!$B$7:$B$559,$B32,'9397 BOEE'!$A$7:$A$559,$A32)+SUMIFS('2217 Teachers Certs Clearing'!D$7:D$518,'2217 Teachers Certs Clearing'!$B$7:$B$518,$B32,'2217 Teachers Certs Clearing'!$A$7:$A$518,$A32)+SUMIFS('Blank Template'!D$7:D$520,'Blank Template'!$B$7:$B$520,$B32,'Blank Template'!$A$7:$A$520,$A32)</f>
        <v>0</v>
      </c>
      <c r="E32" s="58">
        <f>SUMIFS('9397 BOEE'!E$7:E$559,'9397 BOEE'!$B$7:$B$559,$B32,'9397 BOEE'!$A$7:$A$559,$A32)+SUMIFS('2217 Teachers Certs Clearing'!E$7:E$518,'2217 Teachers Certs Clearing'!$B$7:$B$518,$B32,'2217 Teachers Certs Clearing'!$A$7:$A$518,$A32)+SUMIFS('Blank Template'!E$7:E$520,'Blank Template'!$B$7:$B$520,$B32,'Blank Template'!$A$7:$A$520,$A32)</f>
        <v>5250</v>
      </c>
      <c r="F32" s="58">
        <f>SUMIFS('9397 BOEE'!F$7:F$559,'9397 BOEE'!$B$7:$B$559,$B32,'9397 BOEE'!$A$7:$A$559,$A32)+SUMIFS('2217 Teachers Certs Clearing'!F$7:F$518,'2217 Teachers Certs Clearing'!$B$7:$B$518,$B32,'2217 Teachers Certs Clearing'!$A$7:$A$518,$A32)+SUMIFS('Blank Template'!F$7:F$520,'Blank Template'!$B$7:$B$520,$B32,'Blank Template'!$A$7:$A$520,$A32)</f>
        <v>5250</v>
      </c>
      <c r="G32" s="58">
        <f>SUMIFS('9397 BOEE'!G$7:G$559,'9397 BOEE'!$B$7:$B$559,$B32,'9397 BOEE'!$A$7:$A$559,$A32)+SUMIFS('2217 Teachers Certs Clearing'!G$7:G$518,'2217 Teachers Certs Clearing'!$B$7:$B$518,$B32,'2217 Teachers Certs Clearing'!$A$7:$A$518,$A32)+SUMIFS('Blank Template'!G$7:G$520,'Blank Template'!$B$7:$B$520,$B32,'Blank Template'!$A$7:$A$520,$A32)</f>
        <v>5250</v>
      </c>
      <c r="H32" s="58">
        <f>SUMIFS('9397 BOEE'!H$7:H$559,'9397 BOEE'!$B$7:$B$559,$B32,'9397 BOEE'!$A$7:$A$559,$A32)+SUMIFS('2217 Teachers Certs Clearing'!H$7:H$518,'2217 Teachers Certs Clearing'!$B$7:$B$518,$B32,'2217 Teachers Certs Clearing'!$A$7:$A$518,$A32)+SUMIFS('Blank Template'!H$7:H$520,'Blank Template'!$B$7:$B$520,$B32,'Blank Template'!$A$7:$A$520,$A32)</f>
        <v>0</v>
      </c>
      <c r="I32" s="58">
        <f>SUMIFS('9397 BOEE'!I$7:I$559,'9397 BOEE'!$B$7:$B$559,$B32,'9397 BOEE'!$A$7:$A$559,$A32)+SUMIFS('2217 Teachers Certs Clearing'!I$7:I$518,'2217 Teachers Certs Clearing'!$B$7:$B$518,$B32,'2217 Teachers Certs Clearing'!$A$7:$A$518,$A32)+SUMIFS('Blank Template'!I$7:I$520,'Blank Template'!$B$7:$B$520,$B32,'Blank Template'!$A$7:$A$520,$A32)</f>
        <v>5250</v>
      </c>
      <c r="J32" s="58">
        <f>SUMIFS('9397 BOEE'!J$7:J$559,'9397 BOEE'!$B$7:$B$559,$B32,'9397 BOEE'!$A$7:$A$559,$A32)+SUMIFS('2217 Teachers Certs Clearing'!J$7:J$518,'2217 Teachers Certs Clearing'!$B$7:$B$518,$B32,'2217 Teachers Certs Clearing'!$A$7:$A$518,$A32)+SUMIFS('Blank Template'!J$7:J$520,'Blank Template'!$B$7:$B$520,$B32,'Blank Template'!$A$7:$A$520,$A32)</f>
        <v>10500</v>
      </c>
      <c r="K32" s="58">
        <f>SUMIFS('9397 BOEE'!K$7:K$559,'9397 BOEE'!$B$7:$B$559,$B32,'9397 BOEE'!$A$7:$A$559,$A32)+SUMIFS('2217 Teachers Certs Clearing'!K$7:K$518,'2217 Teachers Certs Clearing'!$B$7:$B$518,$B32,'2217 Teachers Certs Clearing'!$A$7:$A$518,$A32)+SUMIFS('Blank Template'!K$7:K$520,'Blank Template'!$B$7:$B$520,$B32,'Blank Template'!$A$7:$A$520,$A32)</f>
        <v>5250</v>
      </c>
      <c r="L32" s="58">
        <f>SUMIFS('9397 BOEE'!L$7:L$559,'9397 BOEE'!$B$7:$B$559,$B32,'9397 BOEE'!$A$7:$A$559,$A32)+SUMIFS('2217 Teachers Certs Clearing'!L$7:L$518,'2217 Teachers Certs Clearing'!$B$7:$B$518,$B32,'2217 Teachers Certs Clearing'!$A$7:$A$518,$A32)+SUMIFS('Blank Template'!L$7:L$520,'Blank Template'!$B$7:$B$520,$B32,'Blank Template'!$A$7:$A$520,$A32)</f>
        <v>5250</v>
      </c>
      <c r="M32" s="58" t="e">
        <f>SUMIFS('9397 BOEE'!M$7:M$560,'9397 BOEE'!$B$7:$B$559,$B32,'9397 BOEE'!$A$7:$A$559,$A32)+SUMIFS('2217 Teachers Certs Clearing'!M$7:M$518,'2217 Teachers Certs Clearing'!$B$7:$B$518,$B32,'2217 Teachers Certs Clearing'!$A$7:$A$518,$A32)+SUMIFS('Blank Template'!M$7:M$520,'Blank Template'!$B$7:$B$520,$B32,'Blank Template'!$A$7:$A$520,$A32)</f>
        <v>#VALUE!</v>
      </c>
      <c r="N32" s="58" t="e">
        <f>SUMIFS('9397 BOEE'!N$7:N$560,'9397 BOEE'!$B$7:$B$559,$B32,'9397 BOEE'!$A$7:$A$559,$A32)+SUMIFS('2217 Teachers Certs Clearing'!N$7:N$518,'2217 Teachers Certs Clearing'!$B$7:$B$518,$B32,'2217 Teachers Certs Clearing'!$A$7:$A$518,$A32)+SUMIFS('Blank Template'!N$7:N$520,'Blank Template'!$B$7:$B$520,$B32,'Blank Template'!$A$7:$A$520,$A32)</f>
        <v>#VALUE!</v>
      </c>
      <c r="O32" s="58" t="e">
        <f>SUMIFS('9397 BOEE'!O$7:O$560,'9397 BOEE'!$B$7:$B$559,$B32,'9397 BOEE'!$A$7:$A$559,$A32)+SUMIFS('2217 Teachers Certs Clearing'!O$7:O$518,'2217 Teachers Certs Clearing'!$B$7:$B$518,$B32,'2217 Teachers Certs Clearing'!$A$7:$A$518,$A32)+SUMIFS('Blank Template'!O$7:O$520,'Blank Template'!$B$7:$B$520,$B32,'Blank Template'!$A$7:$A$520,$A32)</f>
        <v>#VALUE!</v>
      </c>
      <c r="P32" s="58">
        <f>SUMIFS('9397 BOEE'!P$7:P$559,'9397 BOEE'!$B$7:$B$559,$B32,'9397 BOEE'!$A$7:$A$559,$A32)+SUMIFS('2217 Teachers Certs Clearing'!P$7:P$518,'2217 Teachers Certs Clearing'!$B$7:$B$518,$B32,'2217 Teachers Certs Clearing'!$A$7:$A$518,$A32)+SUMIFS('Blank Template'!P$7:P$520,'Blank Template'!$B$7:$B$520,$B32,'Blank Template'!$A$7:$A$520,$A32)</f>
        <v>5250</v>
      </c>
      <c r="Q32" s="58">
        <f>SUMIFS('9397 BOEE'!Q$7:Q$559,'9397 BOEE'!$B$7:$B$559,$B32,'9397 BOEE'!$A$7:$A$559,$A32)+SUMIFS('2217 Teachers Certs Clearing'!Q$7:Q$518,'2217 Teachers Certs Clearing'!$B$7:$B$518,$B32,'2217 Teachers Certs Clearing'!$A$7:$A$518,$A32)+SUMIFS('Blank Template'!Q$7:Q$520,'Blank Template'!$B$7:$B$520,$B32,'Blank Template'!$A$7:$A$520,$A32)</f>
        <v>0</v>
      </c>
      <c r="R32" s="58">
        <f>SUMIFS('9397 BOEE'!R$7:R$559,'9397 BOEE'!$B$7:$B$559,$B32,'9397 BOEE'!$A$7:$A$559,$A32)+SUMIFS('2217 Teachers Certs Clearing'!R$7:R$518,'2217 Teachers Certs Clearing'!$B$7:$B$518,$B32,'2217 Teachers Certs Clearing'!$A$7:$A$518,$A32)+SUMIFS('Blank Template'!R$7:R$520,'Blank Template'!$B$7:$B$520,$B32,'Blank Template'!$A$7:$A$520,$A32)</f>
        <v>0</v>
      </c>
      <c r="S32" s="58">
        <f>SUMIFS('9397 BOEE'!S$7:S$559,'9397 BOEE'!$B$7:$B$559,$B32,'9397 BOEE'!$A$7:$A$559,$A32)+SUMIFS('2217 Teachers Certs Clearing'!S$7:S$518,'2217 Teachers Certs Clearing'!$B$7:$B$518,$B32,'2217 Teachers Certs Clearing'!$A$7:$A$518,$A32)+SUMIFS('Blank Template'!S$7:S$520,'Blank Template'!$B$7:$B$520,$B32,'Blank Template'!$A$7:$A$520,$A32)</f>
        <v>36750</v>
      </c>
      <c r="T32" s="58" t="e">
        <f t="shared" si="8"/>
        <v>#VALUE!</v>
      </c>
      <c r="U32" s="58">
        <f>SUMIFS('9397 BOEE'!U$7:U$559,'9397 BOEE'!$B$7:$B$559,$B32,'9397 BOEE'!$A$7:$A$559,$A32)+SUMIFS('2217 Teachers Certs Clearing'!U$7:U$518,'2217 Teachers Certs Clearing'!$B$7:$B$518,$B32,'2217 Teachers Certs Clearing'!$A$7:$A$518,$A32)+SUMIFS('Blank Template'!U$7:U$520,'Blank Template'!$B$7:$B$520,$B32,'Blank Template'!$A$7:$A$520,$A32)</f>
        <v>71500</v>
      </c>
      <c r="V32" s="71">
        <f t="shared" si="9"/>
        <v>0</v>
      </c>
      <c r="W32" s="71" t="e">
        <f t="shared" si="10"/>
        <v>#VALUE!</v>
      </c>
      <c r="Y32" s="5"/>
      <c r="Z32" s="5"/>
    </row>
    <row r="33" spans="1:26" s="1" customFormat="1" ht="18" customHeight="1" x14ac:dyDescent="0.2">
      <c r="A33" s="57" t="s">
        <v>62</v>
      </c>
      <c r="B33" s="57" t="s">
        <v>63</v>
      </c>
      <c r="C33" s="57"/>
      <c r="D33" s="58">
        <f>SUMIFS('9397 BOEE'!D$7:D$559,'9397 BOEE'!$B$7:$B$559,$B33,'9397 BOEE'!$A$7:$A$559,$A33)+SUMIFS('2217 Teachers Certs Clearing'!D$7:D$518,'2217 Teachers Certs Clearing'!$B$7:$B$518,$B33,'2217 Teachers Certs Clearing'!$A$7:$A$518,$A33)+SUMIFS('Blank Template'!D$7:D$520,'Blank Template'!$B$7:$B$520,$B33,'Blank Template'!$A$7:$A$520,$A33)</f>
        <v>0</v>
      </c>
      <c r="E33" s="58">
        <f>SUMIFS('9397 BOEE'!E$7:E$559,'9397 BOEE'!$B$7:$B$559,$B33,'9397 BOEE'!$A$7:$A$559,$A33)+SUMIFS('2217 Teachers Certs Clearing'!E$7:E$518,'2217 Teachers Certs Clearing'!$B$7:$B$518,$B33,'2217 Teachers Certs Clearing'!$A$7:$A$518,$A33)+SUMIFS('Blank Template'!E$7:E$520,'Blank Template'!$B$7:$B$520,$B33,'Blank Template'!$A$7:$A$520,$A33)</f>
        <v>0</v>
      </c>
      <c r="F33" s="58">
        <f>SUMIFS('9397 BOEE'!F$7:F$559,'9397 BOEE'!$B$7:$B$559,$B33,'9397 BOEE'!$A$7:$A$559,$A33)+SUMIFS('2217 Teachers Certs Clearing'!F$7:F$518,'2217 Teachers Certs Clearing'!$B$7:$B$518,$B33,'2217 Teachers Certs Clearing'!$A$7:$A$518,$A33)+SUMIFS('Blank Template'!F$7:F$520,'Blank Template'!$B$7:$B$520,$B33,'Blank Template'!$A$7:$A$520,$A33)</f>
        <v>1538</v>
      </c>
      <c r="G33" s="58">
        <f>SUMIFS('9397 BOEE'!G$7:G$559,'9397 BOEE'!$B$7:$B$559,$B33,'9397 BOEE'!$A$7:$A$559,$A33)+SUMIFS('2217 Teachers Certs Clearing'!G$7:G$518,'2217 Teachers Certs Clearing'!$B$7:$B$518,$B33,'2217 Teachers Certs Clearing'!$A$7:$A$518,$A33)+SUMIFS('Blank Template'!G$7:G$520,'Blank Template'!$B$7:$B$520,$B33,'Blank Template'!$A$7:$A$520,$A33)</f>
        <v>0</v>
      </c>
      <c r="H33" s="58">
        <f>SUMIFS('9397 BOEE'!H$7:H$559,'9397 BOEE'!$B$7:$B$559,$B33,'9397 BOEE'!$A$7:$A$559,$A33)+SUMIFS('2217 Teachers Certs Clearing'!H$7:H$518,'2217 Teachers Certs Clearing'!$B$7:$B$518,$B33,'2217 Teachers Certs Clearing'!$A$7:$A$518,$A33)+SUMIFS('Blank Template'!H$7:H$520,'Blank Template'!$B$7:$B$520,$B33,'Blank Template'!$A$7:$A$520,$A33)</f>
        <v>161.47999999999999</v>
      </c>
      <c r="I33" s="58">
        <f>SUMIFS('9397 BOEE'!I$7:I$559,'9397 BOEE'!$B$7:$B$559,$B33,'9397 BOEE'!$A$7:$A$559,$A33)+SUMIFS('2217 Teachers Certs Clearing'!I$7:I$518,'2217 Teachers Certs Clearing'!$B$7:$B$518,$B33,'2217 Teachers Certs Clearing'!$A$7:$A$518,$A33)+SUMIFS('Blank Template'!I$7:I$520,'Blank Template'!$B$7:$B$520,$B33,'Blank Template'!$A$7:$A$520,$A33)</f>
        <v>0</v>
      </c>
      <c r="J33" s="58">
        <f>SUMIFS('9397 BOEE'!J$7:J$559,'9397 BOEE'!$B$7:$B$559,$B33,'9397 BOEE'!$A$7:$A$559,$A33)+SUMIFS('2217 Teachers Certs Clearing'!J$7:J$518,'2217 Teachers Certs Clearing'!$B$7:$B$518,$B33,'2217 Teachers Certs Clearing'!$A$7:$A$518,$A33)+SUMIFS('Blank Template'!J$7:J$520,'Blank Template'!$B$7:$B$520,$B33,'Blank Template'!$A$7:$A$520,$A33)</f>
        <v>322.95999999999998</v>
      </c>
      <c r="K33" s="58">
        <f>SUMIFS('9397 BOEE'!K$7:K$559,'9397 BOEE'!$B$7:$B$559,$B33,'9397 BOEE'!$A$7:$A$559,$A33)+SUMIFS('2217 Teachers Certs Clearing'!K$7:K$518,'2217 Teachers Certs Clearing'!$B$7:$B$518,$B33,'2217 Teachers Certs Clearing'!$A$7:$A$518,$A33)+SUMIFS('Blank Template'!K$7:K$520,'Blank Template'!$B$7:$B$520,$B33,'Blank Template'!$A$7:$A$520,$A33)</f>
        <v>161.47999999999999</v>
      </c>
      <c r="L33" s="58">
        <f>SUMIFS('9397 BOEE'!L$7:L$559,'9397 BOEE'!$B$7:$B$559,$B33,'9397 BOEE'!$A$7:$A$559,$A33)+SUMIFS('2217 Teachers Certs Clearing'!L$7:L$518,'2217 Teachers Certs Clearing'!$B$7:$B$518,$B33,'2217 Teachers Certs Clearing'!$A$7:$A$518,$A33)+SUMIFS('Blank Template'!L$7:L$520,'Blank Template'!$B$7:$B$520,$B33,'Blank Template'!$A$7:$A$520,$A33)</f>
        <v>0</v>
      </c>
      <c r="M33" s="58" t="e">
        <f>SUMIFS('9397 BOEE'!M$7:M$560,'9397 BOEE'!$B$7:$B$559,$B33,'9397 BOEE'!$A$7:$A$559,$A33)+SUMIFS('2217 Teachers Certs Clearing'!M$7:M$518,'2217 Teachers Certs Clearing'!$B$7:$B$518,$B33,'2217 Teachers Certs Clearing'!$A$7:$A$518,$A33)+SUMIFS('Blank Template'!M$7:M$520,'Blank Template'!$B$7:$B$520,$B33,'Blank Template'!$A$7:$A$520,$A33)</f>
        <v>#VALUE!</v>
      </c>
      <c r="N33" s="58" t="e">
        <f>SUMIFS('9397 BOEE'!N$7:N$560,'9397 BOEE'!$B$7:$B$559,$B33,'9397 BOEE'!$A$7:$A$559,$A33)+SUMIFS('2217 Teachers Certs Clearing'!N$7:N$518,'2217 Teachers Certs Clearing'!$B$7:$B$518,$B33,'2217 Teachers Certs Clearing'!$A$7:$A$518,$A33)+SUMIFS('Blank Template'!N$7:N$520,'Blank Template'!$B$7:$B$520,$B33,'Blank Template'!$A$7:$A$520,$A33)</f>
        <v>#VALUE!</v>
      </c>
      <c r="O33" s="58" t="e">
        <f>SUMIFS('9397 BOEE'!O$7:O$560,'9397 BOEE'!$B$7:$B$559,$B33,'9397 BOEE'!$A$7:$A$559,$A33)+SUMIFS('2217 Teachers Certs Clearing'!O$7:O$518,'2217 Teachers Certs Clearing'!$B$7:$B$518,$B33,'2217 Teachers Certs Clearing'!$A$7:$A$518,$A33)+SUMIFS('Blank Template'!O$7:O$520,'Blank Template'!$B$7:$B$520,$B33,'Blank Template'!$A$7:$A$520,$A33)</f>
        <v>#VALUE!</v>
      </c>
      <c r="P33" s="58">
        <f>SUMIFS('9397 BOEE'!P$7:P$559,'9397 BOEE'!$B$7:$B$559,$B33,'9397 BOEE'!$A$7:$A$559,$A33)+SUMIFS('2217 Teachers Certs Clearing'!P$7:P$518,'2217 Teachers Certs Clearing'!$B$7:$B$518,$B33,'2217 Teachers Certs Clearing'!$A$7:$A$518,$A33)+SUMIFS('Blank Template'!P$7:P$520,'Blank Template'!$B$7:$B$520,$B33,'Blank Template'!$A$7:$A$520,$A33)</f>
        <v>0</v>
      </c>
      <c r="Q33" s="58">
        <f>SUMIFS('9397 BOEE'!Q$7:Q$559,'9397 BOEE'!$B$7:$B$559,$B33,'9397 BOEE'!$A$7:$A$559,$A33)+SUMIFS('2217 Teachers Certs Clearing'!Q$7:Q$518,'2217 Teachers Certs Clearing'!$B$7:$B$518,$B33,'2217 Teachers Certs Clearing'!$A$7:$A$518,$A33)+SUMIFS('Blank Template'!Q$7:Q$520,'Blank Template'!$B$7:$B$520,$B33,'Blank Template'!$A$7:$A$520,$A33)</f>
        <v>0</v>
      </c>
      <c r="R33" s="58">
        <f>SUMIFS('9397 BOEE'!R$7:R$559,'9397 BOEE'!$B$7:$B$559,$B33,'9397 BOEE'!$A$7:$A$559,$A33)+SUMIFS('2217 Teachers Certs Clearing'!R$7:R$518,'2217 Teachers Certs Clearing'!$B$7:$B$518,$B33,'2217 Teachers Certs Clearing'!$A$7:$A$518,$A33)+SUMIFS('Blank Template'!R$7:R$520,'Blank Template'!$B$7:$B$520,$B33,'Blank Template'!$A$7:$A$520,$A33)</f>
        <v>0</v>
      </c>
      <c r="S33" s="58">
        <f>SUMIFS('9397 BOEE'!S$7:S$559,'9397 BOEE'!$B$7:$B$559,$B33,'9397 BOEE'!$A$7:$A$559,$A33)+SUMIFS('2217 Teachers Certs Clearing'!S$7:S$518,'2217 Teachers Certs Clearing'!$B$7:$B$518,$B33,'2217 Teachers Certs Clearing'!$A$7:$A$518,$A33)+SUMIFS('Blank Template'!S$7:S$520,'Blank Template'!$B$7:$B$520,$B33,'Blank Template'!$A$7:$A$520,$A33)</f>
        <v>2183.92</v>
      </c>
      <c r="T33" s="58" t="e">
        <f t="shared" si="8"/>
        <v>#VALUE!</v>
      </c>
      <c r="U33" s="58">
        <f>SUMIFS('9397 BOEE'!U$7:U$559,'9397 BOEE'!$B$7:$B$559,$B33,'9397 BOEE'!$A$7:$A$559,$A33)+SUMIFS('2217 Teachers Certs Clearing'!U$7:U$518,'2217 Teachers Certs Clearing'!$B$7:$B$518,$B33,'2217 Teachers Certs Clearing'!$A$7:$A$518,$A33)+SUMIFS('Blank Template'!U$7:U$520,'Blank Template'!$B$7:$B$520,$B33,'Blank Template'!$A$7:$A$520,$A33)</f>
        <v>5000</v>
      </c>
      <c r="V33" s="71">
        <f t="shared" si="9"/>
        <v>0</v>
      </c>
      <c r="W33" s="71" t="e">
        <f t="shared" si="10"/>
        <v>#VALUE!</v>
      </c>
      <c r="Y33" s="5"/>
      <c r="Z33" s="5"/>
    </row>
    <row r="34" spans="1:26" s="1" customFormat="1" ht="18" customHeight="1" x14ac:dyDescent="0.2">
      <c r="A34" s="57" t="s">
        <v>64</v>
      </c>
      <c r="B34" s="57" t="s">
        <v>65</v>
      </c>
      <c r="C34" s="57"/>
      <c r="D34" s="58">
        <f>SUMIFS('9397 BOEE'!D$7:D$559,'9397 BOEE'!$B$7:$B$559,$B34,'9397 BOEE'!$A$7:$A$559,$A34)+SUMIFS('2217 Teachers Certs Clearing'!D$7:D$518,'2217 Teachers Certs Clearing'!$B$7:$B$518,$B34,'2217 Teachers Certs Clearing'!$A$7:$A$518,$A34)+SUMIFS('Blank Template'!D$7:D$520,'Blank Template'!$B$7:$B$520,$B34,'Blank Template'!$A$7:$A$520,$A34)</f>
        <v>0</v>
      </c>
      <c r="E34" s="58">
        <f>SUMIFS('9397 BOEE'!E$7:E$559,'9397 BOEE'!$B$7:$B$559,$B34,'9397 BOEE'!$A$7:$A$559,$A34)+SUMIFS('2217 Teachers Certs Clearing'!E$7:E$518,'2217 Teachers Certs Clearing'!$B$7:$B$518,$B34,'2217 Teachers Certs Clearing'!$A$7:$A$518,$A34)+SUMIFS('Blank Template'!E$7:E$520,'Blank Template'!$B$7:$B$520,$B34,'Blank Template'!$A$7:$A$520,$A34)</f>
        <v>0</v>
      </c>
      <c r="F34" s="58">
        <f>SUMIFS('9397 BOEE'!F$7:F$559,'9397 BOEE'!$B$7:$B$559,$B34,'9397 BOEE'!$A$7:$A$559,$A34)+SUMIFS('2217 Teachers Certs Clearing'!F$7:F$518,'2217 Teachers Certs Clearing'!$B$7:$B$518,$B34,'2217 Teachers Certs Clearing'!$A$7:$A$518,$A34)+SUMIFS('Blank Template'!F$7:F$520,'Blank Template'!$B$7:$B$520,$B34,'Blank Template'!$A$7:$A$520,$A34)</f>
        <v>945.06</v>
      </c>
      <c r="G34" s="58">
        <f>SUMIFS('9397 BOEE'!G$7:G$559,'9397 BOEE'!$B$7:$B$559,$B34,'9397 BOEE'!$A$7:$A$559,$A34)+SUMIFS('2217 Teachers Certs Clearing'!G$7:G$518,'2217 Teachers Certs Clearing'!$B$7:$B$518,$B34,'2217 Teachers Certs Clearing'!$A$7:$A$518,$A34)+SUMIFS('Blank Template'!G$7:G$520,'Blank Template'!$B$7:$B$520,$B34,'Blank Template'!$A$7:$A$520,$A34)</f>
        <v>359.52</v>
      </c>
      <c r="H34" s="58">
        <f>SUMIFS('9397 BOEE'!H$7:H$559,'9397 BOEE'!$B$7:$B$559,$B34,'9397 BOEE'!$A$7:$A$559,$A34)+SUMIFS('2217 Teachers Certs Clearing'!H$7:H$518,'2217 Teachers Certs Clearing'!$B$7:$B$518,$B34,'2217 Teachers Certs Clearing'!$A$7:$A$518,$A34)+SUMIFS('Blank Template'!H$7:H$520,'Blank Template'!$B$7:$B$520,$B34,'Blank Template'!$A$7:$A$520,$A34)</f>
        <v>359.52</v>
      </c>
      <c r="I34" s="58">
        <f>SUMIFS('9397 BOEE'!I$7:I$559,'9397 BOEE'!$B$7:$B$559,$B34,'9397 BOEE'!$A$7:$A$559,$A34)+SUMIFS('2217 Teachers Certs Clearing'!I$7:I$518,'2217 Teachers Certs Clearing'!$B$7:$B$518,$B34,'2217 Teachers Certs Clearing'!$A$7:$A$518,$A34)+SUMIFS('Blank Template'!I$7:I$520,'Blank Template'!$B$7:$B$520,$B34,'Blank Template'!$A$7:$A$520,$A34)</f>
        <v>57.6</v>
      </c>
      <c r="J34" s="58">
        <f>SUMIFS('9397 BOEE'!J$7:J$559,'9397 BOEE'!$B$7:$B$559,$B34,'9397 BOEE'!$A$7:$A$559,$A34)+SUMIFS('2217 Teachers Certs Clearing'!J$7:J$518,'2217 Teachers Certs Clearing'!$B$7:$B$518,$B34,'2217 Teachers Certs Clearing'!$A$7:$A$518,$A34)+SUMIFS('Blank Template'!J$7:J$520,'Blank Template'!$B$7:$B$520,$B34,'Blank Template'!$A$7:$A$520,$A34)</f>
        <v>835.36</v>
      </c>
      <c r="K34" s="58">
        <f>SUMIFS('9397 BOEE'!K$7:K$559,'9397 BOEE'!$B$7:$B$559,$B34,'9397 BOEE'!$A$7:$A$559,$A34)+SUMIFS('2217 Teachers Certs Clearing'!K$7:K$518,'2217 Teachers Certs Clearing'!$B$7:$B$518,$B34,'2217 Teachers Certs Clearing'!$A$7:$A$518,$A34)+SUMIFS('Blank Template'!K$7:K$520,'Blank Template'!$B$7:$B$520,$B34,'Blank Template'!$A$7:$A$520,$A34)</f>
        <v>639.87</v>
      </c>
      <c r="L34" s="58">
        <f>SUMIFS('9397 BOEE'!L$7:L$559,'9397 BOEE'!$B$7:$B$559,$B34,'9397 BOEE'!$A$7:$A$559,$A34)+SUMIFS('2217 Teachers Certs Clearing'!L$7:L$518,'2217 Teachers Certs Clearing'!$B$7:$B$518,$B34,'2217 Teachers Certs Clearing'!$A$7:$A$518,$A34)+SUMIFS('Blank Template'!L$7:L$520,'Blank Template'!$B$7:$B$520,$B34,'Blank Template'!$A$7:$A$520,$A34)</f>
        <v>0</v>
      </c>
      <c r="M34" s="58" t="e">
        <f>SUMIFS('9397 BOEE'!M$7:M$560,'9397 BOEE'!$B$7:$B$559,$B34,'9397 BOEE'!$A$7:$A$559,$A34)+SUMIFS('2217 Teachers Certs Clearing'!M$7:M$518,'2217 Teachers Certs Clearing'!$B$7:$B$518,$B34,'2217 Teachers Certs Clearing'!$A$7:$A$518,$A34)+SUMIFS('Blank Template'!M$7:M$520,'Blank Template'!$B$7:$B$520,$B34,'Blank Template'!$A$7:$A$520,$A34)</f>
        <v>#VALUE!</v>
      </c>
      <c r="N34" s="58" t="e">
        <f>SUMIFS('9397 BOEE'!N$7:N$560,'9397 BOEE'!$B$7:$B$559,$B34,'9397 BOEE'!$A$7:$A$559,$A34)+SUMIFS('2217 Teachers Certs Clearing'!N$7:N$518,'2217 Teachers Certs Clearing'!$B$7:$B$518,$B34,'2217 Teachers Certs Clearing'!$A$7:$A$518,$A34)+SUMIFS('Blank Template'!N$7:N$520,'Blank Template'!$B$7:$B$520,$B34,'Blank Template'!$A$7:$A$520,$A34)</f>
        <v>#VALUE!</v>
      </c>
      <c r="O34" s="58" t="e">
        <f>SUMIFS('9397 BOEE'!O$7:O$560,'9397 BOEE'!$B$7:$B$559,$B34,'9397 BOEE'!$A$7:$A$559,$A34)+SUMIFS('2217 Teachers Certs Clearing'!O$7:O$518,'2217 Teachers Certs Clearing'!$B$7:$B$518,$B34,'2217 Teachers Certs Clearing'!$A$7:$A$518,$A34)+SUMIFS('Blank Template'!O$7:O$520,'Blank Template'!$B$7:$B$520,$B34,'Blank Template'!$A$7:$A$520,$A34)</f>
        <v>#VALUE!</v>
      </c>
      <c r="P34" s="58">
        <f>SUMIFS('9397 BOEE'!P$7:P$559,'9397 BOEE'!$B$7:$B$559,$B34,'9397 BOEE'!$A$7:$A$559,$A34)+SUMIFS('2217 Teachers Certs Clearing'!P$7:P$518,'2217 Teachers Certs Clearing'!$B$7:$B$518,$B34,'2217 Teachers Certs Clearing'!$A$7:$A$518,$A34)+SUMIFS('Blank Template'!P$7:P$520,'Blank Template'!$B$7:$B$520,$B34,'Blank Template'!$A$7:$A$520,$A34)</f>
        <v>0</v>
      </c>
      <c r="Q34" s="58">
        <f>SUMIFS('9397 BOEE'!Q$7:Q$559,'9397 BOEE'!$B$7:$B$559,$B34,'9397 BOEE'!$A$7:$A$559,$A34)+SUMIFS('2217 Teachers Certs Clearing'!Q$7:Q$518,'2217 Teachers Certs Clearing'!$B$7:$B$518,$B34,'2217 Teachers Certs Clearing'!$A$7:$A$518,$A34)+SUMIFS('Blank Template'!Q$7:Q$520,'Blank Template'!$B$7:$B$520,$B34,'Blank Template'!$A$7:$A$520,$A34)</f>
        <v>0</v>
      </c>
      <c r="R34" s="58">
        <f>SUMIFS('9397 BOEE'!R$7:R$559,'9397 BOEE'!$B$7:$B$559,$B34,'9397 BOEE'!$A$7:$A$559,$A34)+SUMIFS('2217 Teachers Certs Clearing'!R$7:R$518,'2217 Teachers Certs Clearing'!$B$7:$B$518,$B34,'2217 Teachers Certs Clearing'!$A$7:$A$518,$A34)+SUMIFS('Blank Template'!R$7:R$520,'Blank Template'!$B$7:$B$520,$B34,'Blank Template'!$A$7:$A$520,$A34)</f>
        <v>0</v>
      </c>
      <c r="S34" s="58">
        <f>SUMIFS('9397 BOEE'!S$7:S$559,'9397 BOEE'!$B$7:$B$559,$B34,'9397 BOEE'!$A$7:$A$559,$A34)+SUMIFS('2217 Teachers Certs Clearing'!S$7:S$518,'2217 Teachers Certs Clearing'!$B$7:$B$518,$B34,'2217 Teachers Certs Clearing'!$A$7:$A$518,$A34)+SUMIFS('Blank Template'!S$7:S$520,'Blank Template'!$B$7:$B$520,$B34,'Blank Template'!$A$7:$A$520,$A34)</f>
        <v>3196.93</v>
      </c>
      <c r="T34" s="58" t="e">
        <f t="shared" si="8"/>
        <v>#VALUE!</v>
      </c>
      <c r="U34" s="58">
        <f>SUMIFS('9397 BOEE'!U$7:U$559,'9397 BOEE'!$B$7:$B$559,$B34,'9397 BOEE'!$A$7:$A$559,$A34)+SUMIFS('2217 Teachers Certs Clearing'!U$7:U$518,'2217 Teachers Certs Clearing'!$B$7:$B$518,$B34,'2217 Teachers Certs Clearing'!$A$7:$A$518,$A34)+SUMIFS('Blank Template'!U$7:U$520,'Blank Template'!$B$7:$B$520,$B34,'Blank Template'!$A$7:$A$520,$A34)</f>
        <v>6000</v>
      </c>
      <c r="V34" s="71">
        <f t="shared" si="9"/>
        <v>0</v>
      </c>
      <c r="W34" s="71" t="e">
        <f t="shared" si="10"/>
        <v>#VALUE!</v>
      </c>
      <c r="Y34" s="5"/>
      <c r="Z34" s="5"/>
    </row>
    <row r="35" spans="1:26" s="1" customFormat="1" ht="18" customHeight="1" x14ac:dyDescent="0.2">
      <c r="A35" s="57" t="s">
        <v>66</v>
      </c>
      <c r="B35" s="57" t="s">
        <v>67</v>
      </c>
      <c r="C35" s="57"/>
      <c r="D35" s="58">
        <f>SUMIFS('9397 BOEE'!D$7:D$559,'9397 BOEE'!$B$7:$B$559,$B35,'9397 BOEE'!$A$7:$A$559,$A35)+SUMIFS('2217 Teachers Certs Clearing'!D$7:D$518,'2217 Teachers Certs Clearing'!$B$7:$B$518,$B35,'2217 Teachers Certs Clearing'!$A$7:$A$518,$A35)+SUMIFS('Blank Template'!D$7:D$520,'Blank Template'!$B$7:$B$520,$B35,'Blank Template'!$A$7:$A$520,$A35)</f>
        <v>0</v>
      </c>
      <c r="E35" s="58">
        <f>SUMIFS('9397 BOEE'!E$7:E$559,'9397 BOEE'!$B$7:$B$559,$B35,'9397 BOEE'!$A$7:$A$559,$A35)+SUMIFS('2217 Teachers Certs Clearing'!E$7:E$518,'2217 Teachers Certs Clearing'!$B$7:$B$518,$B35,'2217 Teachers Certs Clearing'!$A$7:$A$518,$A35)+SUMIFS('Blank Template'!E$7:E$520,'Blank Template'!$B$7:$B$520,$B35,'Blank Template'!$A$7:$A$520,$A35)</f>
        <v>0</v>
      </c>
      <c r="F35" s="58">
        <f>SUMIFS('9397 BOEE'!F$7:F$559,'9397 BOEE'!$B$7:$B$559,$B35,'9397 BOEE'!$A$7:$A$559,$A35)+SUMIFS('2217 Teachers Certs Clearing'!F$7:F$518,'2217 Teachers Certs Clearing'!$B$7:$B$518,$B35,'2217 Teachers Certs Clearing'!$A$7:$A$518,$A35)+SUMIFS('Blank Template'!F$7:F$520,'Blank Template'!$B$7:$B$520,$B35,'Blank Template'!$A$7:$A$520,$A35)</f>
        <v>0</v>
      </c>
      <c r="G35" s="58">
        <f>SUMIFS('9397 BOEE'!G$7:G$559,'9397 BOEE'!$B$7:$B$559,$B35,'9397 BOEE'!$A$7:$A$559,$A35)+SUMIFS('2217 Teachers Certs Clearing'!G$7:G$518,'2217 Teachers Certs Clearing'!$B$7:$B$518,$B35,'2217 Teachers Certs Clearing'!$A$7:$A$518,$A35)+SUMIFS('Blank Template'!G$7:G$520,'Blank Template'!$B$7:$B$520,$B35,'Blank Template'!$A$7:$A$520,$A35)</f>
        <v>0</v>
      </c>
      <c r="H35" s="58">
        <f>SUMIFS('9397 BOEE'!H$7:H$559,'9397 BOEE'!$B$7:$B$559,$B35,'9397 BOEE'!$A$7:$A$559,$A35)+SUMIFS('2217 Teachers Certs Clearing'!H$7:H$518,'2217 Teachers Certs Clearing'!$B$7:$B$518,$B35,'2217 Teachers Certs Clearing'!$A$7:$A$518,$A35)+SUMIFS('Blank Template'!H$7:H$520,'Blank Template'!$B$7:$B$520,$B35,'Blank Template'!$A$7:$A$520,$A35)</f>
        <v>0</v>
      </c>
      <c r="I35" s="58">
        <f>SUMIFS('9397 BOEE'!I$7:I$559,'9397 BOEE'!$B$7:$B$559,$B35,'9397 BOEE'!$A$7:$A$559,$A35)+SUMIFS('2217 Teachers Certs Clearing'!I$7:I$518,'2217 Teachers Certs Clearing'!$B$7:$B$518,$B35,'2217 Teachers Certs Clearing'!$A$7:$A$518,$A35)+SUMIFS('Blank Template'!I$7:I$520,'Blank Template'!$B$7:$B$520,$B35,'Blank Template'!$A$7:$A$520,$A35)</f>
        <v>0</v>
      </c>
      <c r="J35" s="58">
        <f>SUMIFS('9397 BOEE'!J$7:J$559,'9397 BOEE'!$B$7:$B$559,$B35,'9397 BOEE'!$A$7:$A$559,$A35)+SUMIFS('2217 Teachers Certs Clearing'!J$7:J$518,'2217 Teachers Certs Clearing'!$B$7:$B$518,$B35,'2217 Teachers Certs Clearing'!$A$7:$A$518,$A35)+SUMIFS('Blank Template'!J$7:J$520,'Blank Template'!$B$7:$B$520,$B35,'Blank Template'!$A$7:$A$520,$A35)</f>
        <v>0</v>
      </c>
      <c r="K35" s="58">
        <f>SUMIFS('9397 BOEE'!K$7:K$559,'9397 BOEE'!$B$7:$B$559,$B35,'9397 BOEE'!$A$7:$A$559,$A35)+SUMIFS('2217 Teachers Certs Clearing'!K$7:K$518,'2217 Teachers Certs Clearing'!$B$7:$B$518,$B35,'2217 Teachers Certs Clearing'!$A$7:$A$518,$A35)+SUMIFS('Blank Template'!K$7:K$520,'Blank Template'!$B$7:$B$520,$B35,'Blank Template'!$A$7:$A$520,$A35)</f>
        <v>0</v>
      </c>
      <c r="L35" s="58">
        <f>SUMIFS('9397 BOEE'!L$7:L$559,'9397 BOEE'!$B$7:$B$559,$B35,'9397 BOEE'!$A$7:$A$559,$A35)+SUMIFS('2217 Teachers Certs Clearing'!L$7:L$518,'2217 Teachers Certs Clearing'!$B$7:$B$518,$B35,'2217 Teachers Certs Clearing'!$A$7:$A$518,$A35)+SUMIFS('Blank Template'!L$7:L$520,'Blank Template'!$B$7:$B$520,$B35,'Blank Template'!$A$7:$A$520,$A35)</f>
        <v>0</v>
      </c>
      <c r="M35" s="58" t="e">
        <f>SUMIFS('9397 BOEE'!M$7:M$560,'9397 BOEE'!$B$7:$B$559,$B35,'9397 BOEE'!$A$7:$A$559,$A35)+SUMIFS('2217 Teachers Certs Clearing'!M$7:M$518,'2217 Teachers Certs Clearing'!$B$7:$B$518,$B35,'2217 Teachers Certs Clearing'!$A$7:$A$518,$A35)+SUMIFS('Blank Template'!M$7:M$520,'Blank Template'!$B$7:$B$520,$B35,'Blank Template'!$A$7:$A$520,$A35)</f>
        <v>#VALUE!</v>
      </c>
      <c r="N35" s="58" t="e">
        <f>SUMIFS('9397 BOEE'!N$7:N$560,'9397 BOEE'!$B$7:$B$559,$B35,'9397 BOEE'!$A$7:$A$559,$A35)+SUMIFS('2217 Teachers Certs Clearing'!N$7:N$518,'2217 Teachers Certs Clearing'!$B$7:$B$518,$B35,'2217 Teachers Certs Clearing'!$A$7:$A$518,$A35)+SUMIFS('Blank Template'!N$7:N$520,'Blank Template'!$B$7:$B$520,$B35,'Blank Template'!$A$7:$A$520,$A35)</f>
        <v>#VALUE!</v>
      </c>
      <c r="O35" s="58" t="e">
        <f>SUMIFS('9397 BOEE'!O$7:O$560,'9397 BOEE'!$B$7:$B$559,$B35,'9397 BOEE'!$A$7:$A$559,$A35)+SUMIFS('2217 Teachers Certs Clearing'!O$7:O$518,'2217 Teachers Certs Clearing'!$B$7:$B$518,$B35,'2217 Teachers Certs Clearing'!$A$7:$A$518,$A35)+SUMIFS('Blank Template'!O$7:O$520,'Blank Template'!$B$7:$B$520,$B35,'Blank Template'!$A$7:$A$520,$A35)</f>
        <v>#VALUE!</v>
      </c>
      <c r="P35" s="58">
        <f>SUMIFS('9397 BOEE'!P$7:P$559,'9397 BOEE'!$B$7:$B$559,$B35,'9397 BOEE'!$A$7:$A$559,$A35)+SUMIFS('2217 Teachers Certs Clearing'!P$7:P$518,'2217 Teachers Certs Clearing'!$B$7:$B$518,$B35,'2217 Teachers Certs Clearing'!$A$7:$A$518,$A35)+SUMIFS('Blank Template'!P$7:P$520,'Blank Template'!$B$7:$B$520,$B35,'Blank Template'!$A$7:$A$520,$A35)</f>
        <v>0</v>
      </c>
      <c r="Q35" s="58">
        <f>SUMIFS('9397 BOEE'!Q$7:Q$559,'9397 BOEE'!$B$7:$B$559,$B35,'9397 BOEE'!$A$7:$A$559,$A35)+SUMIFS('2217 Teachers Certs Clearing'!Q$7:Q$518,'2217 Teachers Certs Clearing'!$B$7:$B$518,$B35,'2217 Teachers Certs Clearing'!$A$7:$A$518,$A35)+SUMIFS('Blank Template'!Q$7:Q$520,'Blank Template'!$B$7:$B$520,$B35,'Blank Template'!$A$7:$A$520,$A35)</f>
        <v>0</v>
      </c>
      <c r="R35" s="58">
        <f>SUMIFS('9397 BOEE'!R$7:R$559,'9397 BOEE'!$B$7:$B$559,$B35,'9397 BOEE'!$A$7:$A$559,$A35)+SUMIFS('2217 Teachers Certs Clearing'!R$7:R$518,'2217 Teachers Certs Clearing'!$B$7:$B$518,$B35,'2217 Teachers Certs Clearing'!$A$7:$A$518,$A35)+SUMIFS('Blank Template'!R$7:R$520,'Blank Template'!$B$7:$B$520,$B35,'Blank Template'!$A$7:$A$520,$A35)</f>
        <v>0</v>
      </c>
      <c r="S35" s="58">
        <f>SUMIFS('9397 BOEE'!S$7:S$559,'9397 BOEE'!$B$7:$B$559,$B35,'9397 BOEE'!$A$7:$A$559,$A35)+SUMIFS('2217 Teachers Certs Clearing'!S$7:S$518,'2217 Teachers Certs Clearing'!$B$7:$B$518,$B35,'2217 Teachers Certs Clearing'!$A$7:$A$518,$A35)+SUMIFS('Blank Template'!S$7:S$520,'Blank Template'!$B$7:$B$520,$B35,'Blank Template'!$A$7:$A$520,$A35)</f>
        <v>0</v>
      </c>
      <c r="T35" s="58" t="e">
        <f t="shared" si="8"/>
        <v>#VALUE!</v>
      </c>
      <c r="U35" s="58">
        <f>SUMIFS('9397 BOEE'!U$7:U$559,'9397 BOEE'!$B$7:$B$559,$B35,'9397 BOEE'!$A$7:$A$559,$A35)+SUMIFS('2217 Teachers Certs Clearing'!U$7:U$518,'2217 Teachers Certs Clearing'!$B$7:$B$518,$B35,'2217 Teachers Certs Clearing'!$A$7:$A$518,$A35)+SUMIFS('Blank Template'!U$7:U$520,'Blank Template'!$B$7:$B$520,$B35,'Blank Template'!$A$7:$A$520,$A35)</f>
        <v>199.67000000000002</v>
      </c>
      <c r="V35" s="71">
        <f t="shared" si="9"/>
        <v>0</v>
      </c>
      <c r="W35" s="71" t="e">
        <f t="shared" si="10"/>
        <v>#VALUE!</v>
      </c>
      <c r="Y35" s="5"/>
      <c r="Z35" s="5"/>
    </row>
    <row r="36" spans="1:26" s="1" customFormat="1" ht="18" customHeight="1" x14ac:dyDescent="0.2">
      <c r="A36" s="57" t="s">
        <v>68</v>
      </c>
      <c r="B36" s="57" t="s">
        <v>69</v>
      </c>
      <c r="C36" s="57"/>
      <c r="D36" s="58">
        <f>SUMIFS('9397 BOEE'!D$7:D$559,'9397 BOEE'!$B$7:$B$559,$B36,'9397 BOEE'!$A$7:$A$559,$A36)+SUMIFS('2217 Teachers Certs Clearing'!D$7:D$518,'2217 Teachers Certs Clearing'!$B$7:$B$518,$B36,'2217 Teachers Certs Clearing'!$A$7:$A$518,$A36)+SUMIFS('Blank Template'!D$7:D$520,'Blank Template'!$B$7:$B$520,$B36,'Blank Template'!$A$7:$A$520,$A36)</f>
        <v>0</v>
      </c>
      <c r="E36" s="58">
        <f>SUMIFS('9397 BOEE'!E$7:E$559,'9397 BOEE'!$B$7:$B$559,$B36,'9397 BOEE'!$A$7:$A$559,$A36)+SUMIFS('2217 Teachers Certs Clearing'!E$7:E$518,'2217 Teachers Certs Clearing'!$B$7:$B$518,$B36,'2217 Teachers Certs Clearing'!$A$7:$A$518,$A36)+SUMIFS('Blank Template'!E$7:E$520,'Blank Template'!$B$7:$B$520,$B36,'Blank Template'!$A$7:$A$520,$A36)</f>
        <v>0</v>
      </c>
      <c r="F36" s="58">
        <f>SUMIFS('9397 BOEE'!F$7:F$559,'9397 BOEE'!$B$7:$B$559,$B36,'9397 BOEE'!$A$7:$A$559,$A36)+SUMIFS('2217 Teachers Certs Clearing'!F$7:F$518,'2217 Teachers Certs Clearing'!$B$7:$B$518,$B36,'2217 Teachers Certs Clearing'!$A$7:$A$518,$A36)+SUMIFS('Blank Template'!F$7:F$520,'Blank Template'!$B$7:$B$520,$B36,'Blank Template'!$A$7:$A$520,$A36)</f>
        <v>0</v>
      </c>
      <c r="G36" s="58">
        <f>SUMIFS('9397 BOEE'!G$7:G$559,'9397 BOEE'!$B$7:$B$559,$B36,'9397 BOEE'!$A$7:$A$559,$A36)+SUMIFS('2217 Teachers Certs Clearing'!G$7:G$518,'2217 Teachers Certs Clearing'!$B$7:$B$518,$B36,'2217 Teachers Certs Clearing'!$A$7:$A$518,$A36)+SUMIFS('Blank Template'!G$7:G$520,'Blank Template'!$B$7:$B$520,$B36,'Blank Template'!$A$7:$A$520,$A36)</f>
        <v>101.85</v>
      </c>
      <c r="H36" s="58">
        <f>SUMIFS('9397 BOEE'!H$7:H$559,'9397 BOEE'!$B$7:$B$559,$B36,'9397 BOEE'!$A$7:$A$559,$A36)+SUMIFS('2217 Teachers Certs Clearing'!H$7:H$518,'2217 Teachers Certs Clearing'!$B$7:$B$518,$B36,'2217 Teachers Certs Clearing'!$A$7:$A$518,$A36)+SUMIFS('Blank Template'!H$7:H$520,'Blank Template'!$B$7:$B$520,$B36,'Blank Template'!$A$7:$A$520,$A36)</f>
        <v>0</v>
      </c>
      <c r="I36" s="58">
        <f>SUMIFS('9397 BOEE'!I$7:I$559,'9397 BOEE'!$B$7:$B$559,$B36,'9397 BOEE'!$A$7:$A$559,$A36)+SUMIFS('2217 Teachers Certs Clearing'!I$7:I$518,'2217 Teachers Certs Clearing'!$B$7:$B$518,$B36,'2217 Teachers Certs Clearing'!$A$7:$A$518,$A36)+SUMIFS('Blank Template'!I$7:I$520,'Blank Template'!$B$7:$B$520,$B36,'Blank Template'!$A$7:$A$520,$A36)</f>
        <v>0</v>
      </c>
      <c r="J36" s="58">
        <f>SUMIFS('9397 BOEE'!J$7:J$559,'9397 BOEE'!$B$7:$B$559,$B36,'9397 BOEE'!$A$7:$A$559,$A36)+SUMIFS('2217 Teachers Certs Clearing'!J$7:J$518,'2217 Teachers Certs Clearing'!$B$7:$B$518,$B36,'2217 Teachers Certs Clearing'!$A$7:$A$518,$A36)+SUMIFS('Blank Template'!J$7:J$520,'Blank Template'!$B$7:$B$520,$B36,'Blank Template'!$A$7:$A$520,$A36)</f>
        <v>110.05</v>
      </c>
      <c r="K36" s="58">
        <f>SUMIFS('9397 BOEE'!K$7:K$559,'9397 BOEE'!$B$7:$B$559,$B36,'9397 BOEE'!$A$7:$A$559,$A36)+SUMIFS('2217 Teachers Certs Clearing'!K$7:K$518,'2217 Teachers Certs Clearing'!$B$7:$B$518,$B36,'2217 Teachers Certs Clearing'!$A$7:$A$518,$A36)+SUMIFS('Blank Template'!K$7:K$520,'Blank Template'!$B$7:$B$520,$B36,'Blank Template'!$A$7:$A$520,$A36)</f>
        <v>0</v>
      </c>
      <c r="L36" s="58">
        <f>SUMIFS('9397 BOEE'!L$7:L$559,'9397 BOEE'!$B$7:$B$559,$B36,'9397 BOEE'!$A$7:$A$559,$A36)+SUMIFS('2217 Teachers Certs Clearing'!L$7:L$518,'2217 Teachers Certs Clearing'!$B$7:$B$518,$B36,'2217 Teachers Certs Clearing'!$A$7:$A$518,$A36)+SUMIFS('Blank Template'!L$7:L$520,'Blank Template'!$B$7:$B$520,$B36,'Blank Template'!$A$7:$A$520,$A36)</f>
        <v>0</v>
      </c>
      <c r="M36" s="58" t="e">
        <f>SUMIFS('9397 BOEE'!M$7:M$560,'9397 BOEE'!$B$7:$B$559,$B36,'9397 BOEE'!$A$7:$A$559,$A36)+SUMIFS('2217 Teachers Certs Clearing'!M$7:M$518,'2217 Teachers Certs Clearing'!$B$7:$B$518,$B36,'2217 Teachers Certs Clearing'!$A$7:$A$518,$A36)+SUMIFS('Blank Template'!M$7:M$520,'Blank Template'!$B$7:$B$520,$B36,'Blank Template'!$A$7:$A$520,$A36)</f>
        <v>#VALUE!</v>
      </c>
      <c r="N36" s="58" t="e">
        <f>SUMIFS('9397 BOEE'!N$7:N$560,'9397 BOEE'!$B$7:$B$559,$B36,'9397 BOEE'!$A$7:$A$559,$A36)+SUMIFS('2217 Teachers Certs Clearing'!N$7:N$518,'2217 Teachers Certs Clearing'!$B$7:$B$518,$B36,'2217 Teachers Certs Clearing'!$A$7:$A$518,$A36)+SUMIFS('Blank Template'!N$7:N$520,'Blank Template'!$B$7:$B$520,$B36,'Blank Template'!$A$7:$A$520,$A36)</f>
        <v>#VALUE!</v>
      </c>
      <c r="O36" s="58" t="e">
        <f>SUMIFS('9397 BOEE'!O$7:O$560,'9397 BOEE'!$B$7:$B$559,$B36,'9397 BOEE'!$A$7:$A$559,$A36)+SUMIFS('2217 Teachers Certs Clearing'!O$7:O$518,'2217 Teachers Certs Clearing'!$B$7:$B$518,$B36,'2217 Teachers Certs Clearing'!$A$7:$A$518,$A36)+SUMIFS('Blank Template'!O$7:O$520,'Blank Template'!$B$7:$B$520,$B36,'Blank Template'!$A$7:$A$520,$A36)</f>
        <v>#VALUE!</v>
      </c>
      <c r="P36" s="58">
        <f>SUMIFS('9397 BOEE'!P$7:P$559,'9397 BOEE'!$B$7:$B$559,$B36,'9397 BOEE'!$A$7:$A$559,$A36)+SUMIFS('2217 Teachers Certs Clearing'!P$7:P$518,'2217 Teachers Certs Clearing'!$B$7:$B$518,$B36,'2217 Teachers Certs Clearing'!$A$7:$A$518,$A36)+SUMIFS('Blank Template'!P$7:P$520,'Blank Template'!$B$7:$B$520,$B36,'Blank Template'!$A$7:$A$520,$A36)</f>
        <v>0</v>
      </c>
      <c r="Q36" s="58">
        <f>SUMIFS('9397 BOEE'!Q$7:Q$559,'9397 BOEE'!$B$7:$B$559,$B36,'9397 BOEE'!$A$7:$A$559,$A36)+SUMIFS('2217 Teachers Certs Clearing'!Q$7:Q$518,'2217 Teachers Certs Clearing'!$B$7:$B$518,$B36,'2217 Teachers Certs Clearing'!$A$7:$A$518,$A36)+SUMIFS('Blank Template'!Q$7:Q$520,'Blank Template'!$B$7:$B$520,$B36,'Blank Template'!$A$7:$A$520,$A36)</f>
        <v>0</v>
      </c>
      <c r="R36" s="58">
        <f>SUMIFS('9397 BOEE'!R$7:R$559,'9397 BOEE'!$B$7:$B$559,$B36,'9397 BOEE'!$A$7:$A$559,$A36)+SUMIFS('2217 Teachers Certs Clearing'!R$7:R$518,'2217 Teachers Certs Clearing'!$B$7:$B$518,$B36,'2217 Teachers Certs Clearing'!$A$7:$A$518,$A36)+SUMIFS('Blank Template'!R$7:R$520,'Blank Template'!$B$7:$B$520,$B36,'Blank Template'!$A$7:$A$520,$A36)</f>
        <v>0</v>
      </c>
      <c r="S36" s="58">
        <f>SUMIFS('9397 BOEE'!S$7:S$559,'9397 BOEE'!$B$7:$B$559,$B36,'9397 BOEE'!$A$7:$A$559,$A36)+SUMIFS('2217 Teachers Certs Clearing'!S$7:S$518,'2217 Teachers Certs Clearing'!$B$7:$B$518,$B36,'2217 Teachers Certs Clearing'!$A$7:$A$518,$A36)+SUMIFS('Blank Template'!S$7:S$520,'Blank Template'!$B$7:$B$520,$B36,'Blank Template'!$A$7:$A$520,$A36)</f>
        <v>211.89999999999998</v>
      </c>
      <c r="T36" s="58" t="e">
        <f t="shared" si="8"/>
        <v>#VALUE!</v>
      </c>
      <c r="U36" s="58">
        <f>SUMIFS('9397 BOEE'!U$7:U$559,'9397 BOEE'!$B$7:$B$559,$B36,'9397 BOEE'!$A$7:$A$559,$A36)+SUMIFS('2217 Teachers Certs Clearing'!U$7:U$518,'2217 Teachers Certs Clearing'!$B$7:$B$518,$B36,'2217 Teachers Certs Clearing'!$A$7:$A$518,$A36)+SUMIFS('Blank Template'!U$7:U$520,'Blank Template'!$B$7:$B$520,$B36,'Blank Template'!$A$7:$A$520,$A36)</f>
        <v>1000</v>
      </c>
      <c r="V36" s="71">
        <f t="shared" si="9"/>
        <v>0</v>
      </c>
      <c r="W36" s="71" t="e">
        <f t="shared" si="10"/>
        <v>#VALUE!</v>
      </c>
      <c r="Y36" s="5"/>
      <c r="Z36" s="5"/>
    </row>
    <row r="37" spans="1:26" s="1" customFormat="1" ht="18" customHeight="1" x14ac:dyDescent="0.2">
      <c r="A37" s="57" t="s">
        <v>71</v>
      </c>
      <c r="B37" s="57" t="s">
        <v>72</v>
      </c>
      <c r="C37" s="57"/>
      <c r="D37" s="58">
        <f>SUMIFS('9397 BOEE'!D$7:D$559,'9397 BOEE'!$B$7:$B$559,$B37,'9397 BOEE'!$A$7:$A$559,$A37)+SUMIFS('2217 Teachers Certs Clearing'!D$7:D$518,'2217 Teachers Certs Clearing'!$B$7:$B$518,$B37,'2217 Teachers Certs Clearing'!$A$7:$A$518,$A37)+SUMIFS('Blank Template'!D$7:D$520,'Blank Template'!$B$7:$B$520,$B37,'Blank Template'!$A$7:$A$520,$A37)</f>
        <v>0</v>
      </c>
      <c r="E37" s="58">
        <f>SUMIFS('9397 BOEE'!E$7:E$559,'9397 BOEE'!$B$7:$B$559,$B37,'9397 BOEE'!$A$7:$A$559,$A37)+SUMIFS('2217 Teachers Certs Clearing'!E$7:E$518,'2217 Teachers Certs Clearing'!$B$7:$B$518,$B37,'2217 Teachers Certs Clearing'!$A$7:$A$518,$A37)+SUMIFS('Blank Template'!E$7:E$520,'Blank Template'!$B$7:$B$520,$B37,'Blank Template'!$A$7:$A$520,$A37)</f>
        <v>1230.47</v>
      </c>
      <c r="F37" s="58">
        <f>SUMIFS('9397 BOEE'!F$7:F$559,'9397 BOEE'!$B$7:$B$559,$B37,'9397 BOEE'!$A$7:$A$559,$A37)+SUMIFS('2217 Teachers Certs Clearing'!F$7:F$518,'2217 Teachers Certs Clearing'!$B$7:$B$518,$B37,'2217 Teachers Certs Clearing'!$A$7:$A$518,$A37)+SUMIFS('Blank Template'!F$7:F$520,'Blank Template'!$B$7:$B$520,$B37,'Blank Template'!$A$7:$A$520,$A37)</f>
        <v>1906.37</v>
      </c>
      <c r="G37" s="58">
        <f>SUMIFS('9397 BOEE'!G$7:G$559,'9397 BOEE'!$B$7:$B$559,$B37,'9397 BOEE'!$A$7:$A$559,$A37)+SUMIFS('2217 Teachers Certs Clearing'!G$7:G$518,'2217 Teachers Certs Clearing'!$B$7:$B$518,$B37,'2217 Teachers Certs Clearing'!$A$7:$A$518,$A37)+SUMIFS('Blank Template'!G$7:G$520,'Blank Template'!$B$7:$B$520,$B37,'Blank Template'!$A$7:$A$520,$A37)</f>
        <v>1521.93</v>
      </c>
      <c r="H37" s="58">
        <f>SUMIFS('9397 BOEE'!H$7:H$559,'9397 BOEE'!$B$7:$B$559,$B37,'9397 BOEE'!$A$7:$A$559,$A37)+SUMIFS('2217 Teachers Certs Clearing'!H$7:H$518,'2217 Teachers Certs Clearing'!$B$7:$B$518,$B37,'2217 Teachers Certs Clearing'!$A$7:$A$518,$A37)+SUMIFS('Blank Template'!H$7:H$520,'Blank Template'!$B$7:$B$520,$B37,'Blank Template'!$A$7:$A$520,$A37)</f>
        <v>283.07</v>
      </c>
      <c r="I37" s="58">
        <f>SUMIFS('9397 BOEE'!I$7:I$559,'9397 BOEE'!$B$7:$B$559,$B37,'9397 BOEE'!$A$7:$A$559,$A37)+SUMIFS('2217 Teachers Certs Clearing'!I$7:I$518,'2217 Teachers Certs Clearing'!$B$7:$B$518,$B37,'2217 Teachers Certs Clearing'!$A$7:$A$518,$A37)+SUMIFS('Blank Template'!I$7:I$520,'Blank Template'!$B$7:$B$520,$B37,'Blank Template'!$A$7:$A$520,$A37)</f>
        <v>297.14999999999998</v>
      </c>
      <c r="J37" s="58">
        <f>SUMIFS('9397 BOEE'!J$7:J$559,'9397 BOEE'!$B$7:$B$559,$B37,'9397 BOEE'!$A$7:$A$559,$A37)+SUMIFS('2217 Teachers Certs Clearing'!J$7:J$518,'2217 Teachers Certs Clearing'!$B$7:$B$518,$B37,'2217 Teachers Certs Clearing'!$A$7:$A$518,$A37)+SUMIFS('Blank Template'!J$7:J$520,'Blank Template'!$B$7:$B$520,$B37,'Blank Template'!$A$7:$A$520,$A37)</f>
        <v>1244.82</v>
      </c>
      <c r="K37" s="58">
        <f>SUMIFS('9397 BOEE'!K$7:K$559,'9397 BOEE'!$B$7:$B$559,$B37,'9397 BOEE'!$A$7:$A$559,$A37)+SUMIFS('2217 Teachers Certs Clearing'!K$7:K$518,'2217 Teachers Certs Clearing'!$B$7:$B$518,$B37,'2217 Teachers Certs Clearing'!$A$7:$A$518,$A37)+SUMIFS('Blank Template'!K$7:K$520,'Blank Template'!$B$7:$B$520,$B37,'Blank Template'!$A$7:$A$520,$A37)</f>
        <v>286.57</v>
      </c>
      <c r="L37" s="58">
        <f>SUMIFS('9397 BOEE'!L$7:L$559,'9397 BOEE'!$B$7:$B$559,$B37,'9397 BOEE'!$A$7:$A$559,$A37)+SUMIFS('2217 Teachers Certs Clearing'!L$7:L$518,'2217 Teachers Certs Clearing'!$B$7:$B$518,$B37,'2217 Teachers Certs Clearing'!$A$7:$A$518,$A37)+SUMIFS('Blank Template'!L$7:L$520,'Blank Template'!$B$7:$B$520,$B37,'Blank Template'!$A$7:$A$520,$A37)</f>
        <v>0</v>
      </c>
      <c r="M37" s="58" t="e">
        <f>SUMIFS('9397 BOEE'!M$7:M$560,'9397 BOEE'!$B$7:$B$559,$B37,'9397 BOEE'!$A$7:$A$559,$A37)+SUMIFS('2217 Teachers Certs Clearing'!M$7:M$518,'2217 Teachers Certs Clearing'!$B$7:$B$518,$B37,'2217 Teachers Certs Clearing'!$A$7:$A$518,$A37)+SUMIFS('Blank Template'!M$7:M$520,'Blank Template'!$B$7:$B$520,$B37,'Blank Template'!$A$7:$A$520,$A37)</f>
        <v>#VALUE!</v>
      </c>
      <c r="N37" s="58" t="e">
        <f>SUMIFS('9397 BOEE'!N$7:N$560,'9397 BOEE'!$B$7:$B$559,$B37,'9397 BOEE'!$A$7:$A$559,$A37)+SUMIFS('2217 Teachers Certs Clearing'!N$7:N$518,'2217 Teachers Certs Clearing'!$B$7:$B$518,$B37,'2217 Teachers Certs Clearing'!$A$7:$A$518,$A37)+SUMIFS('Blank Template'!N$7:N$520,'Blank Template'!$B$7:$B$520,$B37,'Blank Template'!$A$7:$A$520,$A37)</f>
        <v>#VALUE!</v>
      </c>
      <c r="O37" s="58" t="e">
        <f>SUMIFS('9397 BOEE'!O$7:O$560,'9397 BOEE'!$B$7:$B$559,$B37,'9397 BOEE'!$A$7:$A$559,$A37)+SUMIFS('2217 Teachers Certs Clearing'!O$7:O$518,'2217 Teachers Certs Clearing'!$B$7:$B$518,$B37,'2217 Teachers Certs Clearing'!$A$7:$A$518,$A37)+SUMIFS('Blank Template'!O$7:O$520,'Blank Template'!$B$7:$B$520,$B37,'Blank Template'!$A$7:$A$520,$A37)</f>
        <v>#VALUE!</v>
      </c>
      <c r="P37" s="58">
        <f>SUMIFS('9397 BOEE'!P$7:P$559,'9397 BOEE'!$B$7:$B$559,$B37,'9397 BOEE'!$A$7:$A$559,$A37)+SUMIFS('2217 Teachers Certs Clearing'!P$7:P$518,'2217 Teachers Certs Clearing'!$B$7:$B$518,$B37,'2217 Teachers Certs Clearing'!$A$7:$A$518,$A37)+SUMIFS('Blank Template'!P$7:P$520,'Blank Template'!$B$7:$B$520,$B37,'Blank Template'!$A$7:$A$520,$A37)</f>
        <v>0</v>
      </c>
      <c r="Q37" s="58">
        <f>SUMIFS('9397 BOEE'!Q$7:Q$559,'9397 BOEE'!$B$7:$B$559,$B37,'9397 BOEE'!$A$7:$A$559,$A37)+SUMIFS('2217 Teachers Certs Clearing'!Q$7:Q$518,'2217 Teachers Certs Clearing'!$B$7:$B$518,$B37,'2217 Teachers Certs Clearing'!$A$7:$A$518,$A37)+SUMIFS('Blank Template'!Q$7:Q$520,'Blank Template'!$B$7:$B$520,$B37,'Blank Template'!$A$7:$A$520,$A37)</f>
        <v>0</v>
      </c>
      <c r="R37" s="58">
        <f>SUMIFS('9397 BOEE'!R$7:R$559,'9397 BOEE'!$B$7:$B$559,$B37,'9397 BOEE'!$A$7:$A$559,$A37)+SUMIFS('2217 Teachers Certs Clearing'!R$7:R$518,'2217 Teachers Certs Clearing'!$B$7:$B$518,$B37,'2217 Teachers Certs Clearing'!$A$7:$A$518,$A37)+SUMIFS('Blank Template'!R$7:R$520,'Blank Template'!$B$7:$B$520,$B37,'Blank Template'!$A$7:$A$520,$A37)</f>
        <v>0</v>
      </c>
      <c r="S37" s="58">
        <f>SUMIFS('9397 BOEE'!S$7:S$559,'9397 BOEE'!$B$7:$B$559,$B37,'9397 BOEE'!$A$7:$A$559,$A37)+SUMIFS('2217 Teachers Certs Clearing'!S$7:S$518,'2217 Teachers Certs Clearing'!$B$7:$B$518,$B37,'2217 Teachers Certs Clearing'!$A$7:$A$518,$A37)+SUMIFS('Blank Template'!S$7:S$520,'Blank Template'!$B$7:$B$520,$B37,'Blank Template'!$A$7:$A$520,$A37)</f>
        <v>6770.3799999999992</v>
      </c>
      <c r="T37" s="58" t="e">
        <f t="shared" si="8"/>
        <v>#VALUE!</v>
      </c>
      <c r="U37" s="58">
        <f>SUMIFS('9397 BOEE'!U$7:U$559,'9397 BOEE'!$B$7:$B$559,$B37,'9397 BOEE'!$A$7:$A$559,$A37)+SUMIFS('2217 Teachers Certs Clearing'!U$7:U$518,'2217 Teachers Certs Clearing'!$B$7:$B$518,$B37,'2217 Teachers Certs Clearing'!$A$7:$A$518,$A37)+SUMIFS('Blank Template'!U$7:U$520,'Blank Template'!$B$7:$B$520,$B37,'Blank Template'!$A$7:$A$520,$A37)</f>
        <v>8000</v>
      </c>
      <c r="V37" s="71">
        <f t="shared" si="9"/>
        <v>0</v>
      </c>
      <c r="W37" s="71" t="e">
        <f t="shared" si="10"/>
        <v>#VALUE!</v>
      </c>
      <c r="Y37" s="5"/>
      <c r="Z37" s="5"/>
    </row>
    <row r="38" spans="1:26" s="1" customFormat="1" ht="18" customHeight="1" x14ac:dyDescent="0.2">
      <c r="A38" s="57" t="s">
        <v>73</v>
      </c>
      <c r="B38" s="57" t="s">
        <v>74</v>
      </c>
      <c r="C38" s="57"/>
      <c r="D38" s="58">
        <f>SUMIFS('9397 BOEE'!D$7:D$559,'9397 BOEE'!$B$7:$B$559,$B38,'9397 BOEE'!$A$7:$A$559,$A38)+SUMIFS('2217 Teachers Certs Clearing'!D$7:D$518,'2217 Teachers Certs Clearing'!$B$7:$B$518,$B38,'2217 Teachers Certs Clearing'!$A$7:$A$518,$A38)+SUMIFS('Blank Template'!D$7:D$520,'Blank Template'!$B$7:$B$520,$B38,'Blank Template'!$A$7:$A$520,$A38)</f>
        <v>0</v>
      </c>
      <c r="E38" s="58">
        <f>SUMIFS('9397 BOEE'!E$7:E$559,'9397 BOEE'!$B$7:$B$559,$B38,'9397 BOEE'!$A$7:$A$559,$A38)+SUMIFS('2217 Teachers Certs Clearing'!E$7:E$518,'2217 Teachers Certs Clearing'!$B$7:$B$518,$B38,'2217 Teachers Certs Clearing'!$A$7:$A$518,$A38)+SUMIFS('Blank Template'!E$7:E$520,'Blank Template'!$B$7:$B$520,$B38,'Blank Template'!$A$7:$A$520,$A38)</f>
        <v>1387.55</v>
      </c>
      <c r="F38" s="58">
        <f>SUMIFS('9397 BOEE'!F$7:F$559,'9397 BOEE'!$B$7:$B$559,$B38,'9397 BOEE'!$A$7:$A$559,$A38)+SUMIFS('2217 Teachers Certs Clearing'!F$7:F$518,'2217 Teachers Certs Clearing'!$B$7:$B$518,$B38,'2217 Teachers Certs Clearing'!$A$7:$A$518,$A38)+SUMIFS('Blank Template'!F$7:F$520,'Blank Template'!$B$7:$B$520,$B38,'Blank Template'!$A$7:$A$520,$A38)</f>
        <v>186489.01</v>
      </c>
      <c r="G38" s="58">
        <f>SUMIFS('9397 BOEE'!G$7:G$559,'9397 BOEE'!$B$7:$B$559,$B38,'9397 BOEE'!$A$7:$A$559,$A38)+SUMIFS('2217 Teachers Certs Clearing'!G$7:G$518,'2217 Teachers Certs Clearing'!$B$7:$B$518,$B38,'2217 Teachers Certs Clearing'!$A$7:$A$518,$A38)+SUMIFS('Blank Template'!G$7:G$520,'Blank Template'!$B$7:$B$520,$B38,'Blank Template'!$A$7:$A$520,$A38)</f>
        <v>2379.5700000000002</v>
      </c>
      <c r="H38" s="58">
        <f>SUMIFS('9397 BOEE'!H$7:H$559,'9397 BOEE'!$B$7:$B$559,$B38,'9397 BOEE'!$A$7:$A$559,$A38)+SUMIFS('2217 Teachers Certs Clearing'!H$7:H$518,'2217 Teachers Certs Clearing'!$B$7:$B$518,$B38,'2217 Teachers Certs Clearing'!$A$7:$A$518,$A38)+SUMIFS('Blank Template'!H$7:H$520,'Blank Template'!$B$7:$B$520,$B38,'Blank Template'!$A$7:$A$520,$A38)</f>
        <v>2032.46</v>
      </c>
      <c r="I38" s="58">
        <f>SUMIFS('9397 BOEE'!I$7:I$559,'9397 BOEE'!$B$7:$B$559,$B38,'9397 BOEE'!$A$7:$A$559,$A38)+SUMIFS('2217 Teachers Certs Clearing'!I$7:I$518,'2217 Teachers Certs Clearing'!$B$7:$B$518,$B38,'2217 Teachers Certs Clearing'!$A$7:$A$518,$A38)+SUMIFS('Blank Template'!I$7:I$520,'Blank Template'!$B$7:$B$520,$B38,'Blank Template'!$A$7:$A$520,$A38)</f>
        <v>1966.04</v>
      </c>
      <c r="J38" s="58">
        <f>SUMIFS('9397 BOEE'!J$7:J$559,'9397 BOEE'!$B$7:$B$559,$B38,'9397 BOEE'!$A$7:$A$559,$A38)+SUMIFS('2217 Teachers Certs Clearing'!J$7:J$518,'2217 Teachers Certs Clearing'!$B$7:$B$518,$B38,'2217 Teachers Certs Clearing'!$A$7:$A$518,$A38)+SUMIFS('Blank Template'!J$7:J$520,'Blank Template'!$B$7:$B$520,$B38,'Blank Template'!$A$7:$A$520,$A38)</f>
        <v>1876.78</v>
      </c>
      <c r="K38" s="58">
        <f>SUMIFS('9397 BOEE'!K$7:K$559,'9397 BOEE'!$B$7:$B$559,$B38,'9397 BOEE'!$A$7:$A$559,$A38)+SUMIFS('2217 Teachers Certs Clearing'!K$7:K$518,'2217 Teachers Certs Clearing'!$B$7:$B$518,$B38,'2217 Teachers Certs Clearing'!$A$7:$A$518,$A38)+SUMIFS('Blank Template'!K$7:K$520,'Blank Template'!$B$7:$B$520,$B38,'Blank Template'!$A$7:$A$520,$A38)</f>
        <v>2072.54</v>
      </c>
      <c r="L38" s="58">
        <f>SUMIFS('9397 BOEE'!L$7:L$559,'9397 BOEE'!$B$7:$B$559,$B38,'9397 BOEE'!$A$7:$A$559,$A38)+SUMIFS('2217 Teachers Certs Clearing'!L$7:L$518,'2217 Teachers Certs Clearing'!$B$7:$B$518,$B38,'2217 Teachers Certs Clearing'!$A$7:$A$518,$A38)+SUMIFS('Blank Template'!L$7:L$520,'Blank Template'!$B$7:$B$520,$B38,'Blank Template'!$A$7:$A$520,$A38)</f>
        <v>0</v>
      </c>
      <c r="M38" s="58" t="e">
        <f>SUMIFS('9397 BOEE'!M$7:M$560,'9397 BOEE'!$B$7:$B$559,$B38,'9397 BOEE'!$A$7:$A$559,$A38)+SUMIFS('2217 Teachers Certs Clearing'!M$7:M$518,'2217 Teachers Certs Clearing'!$B$7:$B$518,$B38,'2217 Teachers Certs Clearing'!$A$7:$A$518,$A38)+SUMIFS('Blank Template'!M$7:M$520,'Blank Template'!$B$7:$B$520,$B38,'Blank Template'!$A$7:$A$520,$A38)</f>
        <v>#VALUE!</v>
      </c>
      <c r="N38" s="58" t="e">
        <f>SUMIFS('9397 BOEE'!N$7:N$560,'9397 BOEE'!$B$7:$B$559,$B38,'9397 BOEE'!$A$7:$A$559,$A38)+SUMIFS('2217 Teachers Certs Clearing'!N$7:N$518,'2217 Teachers Certs Clearing'!$B$7:$B$518,$B38,'2217 Teachers Certs Clearing'!$A$7:$A$518,$A38)+SUMIFS('Blank Template'!N$7:N$520,'Blank Template'!$B$7:$B$520,$B38,'Blank Template'!$A$7:$A$520,$A38)</f>
        <v>#VALUE!</v>
      </c>
      <c r="O38" s="58" t="e">
        <f>SUMIFS('9397 BOEE'!O$7:O$560,'9397 BOEE'!$B$7:$B$559,$B38,'9397 BOEE'!$A$7:$A$559,$A38)+SUMIFS('2217 Teachers Certs Clearing'!O$7:O$518,'2217 Teachers Certs Clearing'!$B$7:$B$518,$B38,'2217 Teachers Certs Clearing'!$A$7:$A$518,$A38)+SUMIFS('Blank Template'!O$7:O$520,'Blank Template'!$B$7:$B$520,$B38,'Blank Template'!$A$7:$A$520,$A38)</f>
        <v>#VALUE!</v>
      </c>
      <c r="P38" s="58">
        <f>SUMIFS('9397 BOEE'!P$7:P$559,'9397 BOEE'!$B$7:$B$559,$B38,'9397 BOEE'!$A$7:$A$559,$A38)+SUMIFS('2217 Teachers Certs Clearing'!P$7:P$518,'2217 Teachers Certs Clearing'!$B$7:$B$518,$B38,'2217 Teachers Certs Clearing'!$A$7:$A$518,$A38)+SUMIFS('Blank Template'!P$7:P$520,'Blank Template'!$B$7:$B$520,$B38,'Blank Template'!$A$7:$A$520,$A38)</f>
        <v>0</v>
      </c>
      <c r="Q38" s="58">
        <f>SUMIFS('9397 BOEE'!Q$7:Q$559,'9397 BOEE'!$B$7:$B$559,$B38,'9397 BOEE'!$A$7:$A$559,$A38)+SUMIFS('2217 Teachers Certs Clearing'!Q$7:Q$518,'2217 Teachers Certs Clearing'!$B$7:$B$518,$B38,'2217 Teachers Certs Clearing'!$A$7:$A$518,$A38)+SUMIFS('Blank Template'!Q$7:Q$520,'Blank Template'!$B$7:$B$520,$B38,'Blank Template'!$A$7:$A$520,$A38)</f>
        <v>0</v>
      </c>
      <c r="R38" s="58">
        <f>SUMIFS('9397 BOEE'!R$7:R$559,'9397 BOEE'!$B$7:$B$559,$B38,'9397 BOEE'!$A$7:$A$559,$A38)+SUMIFS('2217 Teachers Certs Clearing'!R$7:R$518,'2217 Teachers Certs Clearing'!$B$7:$B$518,$B38,'2217 Teachers Certs Clearing'!$A$7:$A$518,$A38)+SUMIFS('Blank Template'!R$7:R$520,'Blank Template'!$B$7:$B$520,$B38,'Blank Template'!$A$7:$A$520,$A38)</f>
        <v>0</v>
      </c>
      <c r="S38" s="58">
        <f>SUMIFS('9397 BOEE'!S$7:S$559,'9397 BOEE'!$B$7:$B$559,$B38,'9397 BOEE'!$A$7:$A$559,$A38)+SUMIFS('2217 Teachers Certs Clearing'!S$7:S$518,'2217 Teachers Certs Clearing'!$B$7:$B$518,$B38,'2217 Teachers Certs Clearing'!$A$7:$A$518,$A38)+SUMIFS('Blank Template'!S$7:S$520,'Blank Template'!$B$7:$B$520,$B38,'Blank Template'!$A$7:$A$520,$A38)</f>
        <v>198203.95</v>
      </c>
      <c r="T38" s="58" t="e">
        <f t="shared" si="8"/>
        <v>#VALUE!</v>
      </c>
      <c r="U38" s="58">
        <f>SUMIFS('9397 BOEE'!U$7:U$559,'9397 BOEE'!$B$7:$B$559,$B38,'9397 BOEE'!$A$7:$A$559,$A38)+SUMIFS('2217 Teachers Certs Clearing'!U$7:U$518,'2217 Teachers Certs Clearing'!$B$7:$B$518,$B38,'2217 Teachers Certs Clearing'!$A$7:$A$518,$A38)+SUMIFS('Blank Template'!U$7:U$520,'Blank Template'!$B$7:$B$520,$B38,'Blank Template'!$A$7:$A$520,$A38)</f>
        <v>210000</v>
      </c>
      <c r="V38" s="71">
        <f t="shared" si="9"/>
        <v>0</v>
      </c>
      <c r="W38" s="71" t="e">
        <f t="shared" si="10"/>
        <v>#VALUE!</v>
      </c>
      <c r="Y38" s="5"/>
      <c r="Z38" s="5"/>
    </row>
    <row r="39" spans="1:26" s="1" customFormat="1" ht="18" customHeight="1" x14ac:dyDescent="0.2">
      <c r="A39" s="57" t="s">
        <v>143</v>
      </c>
      <c r="B39" s="57" t="s">
        <v>144</v>
      </c>
      <c r="C39" s="57"/>
      <c r="D39" s="58">
        <f>SUMIFS('9397 BOEE'!D$7:D$559,'9397 BOEE'!$B$7:$B$559,$B39,'9397 BOEE'!$A$7:$A$559,$A39)+SUMIFS('2217 Teachers Certs Clearing'!D$7:D$518,'2217 Teachers Certs Clearing'!$B$7:$B$518,$B39,'2217 Teachers Certs Clearing'!$A$7:$A$518,$A39)+SUMIFS('Blank Template'!D$7:D$520,'Blank Template'!$B$7:$B$520,$B39,'Blank Template'!$A$7:$A$520,$A39)</f>
        <v>0</v>
      </c>
      <c r="E39" s="58">
        <f>SUMIFS('9397 BOEE'!E$7:E$559,'9397 BOEE'!$B$7:$B$559,$B39,'9397 BOEE'!$A$7:$A$559,$A39)+SUMIFS('2217 Teachers Certs Clearing'!E$7:E$518,'2217 Teachers Certs Clearing'!$B$7:$B$518,$B39,'2217 Teachers Certs Clearing'!$A$7:$A$518,$A39)+SUMIFS('Blank Template'!E$7:E$520,'Blank Template'!$B$7:$B$520,$B39,'Blank Template'!$A$7:$A$520,$A39)</f>
        <v>0</v>
      </c>
      <c r="F39" s="58">
        <f>SUMIFS('9397 BOEE'!F$7:F$559,'9397 BOEE'!$B$7:$B$559,$B39,'9397 BOEE'!$A$7:$A$559,$A39)+SUMIFS('2217 Teachers Certs Clearing'!F$7:F$518,'2217 Teachers Certs Clearing'!$B$7:$B$518,$B39,'2217 Teachers Certs Clearing'!$A$7:$A$518,$A39)+SUMIFS('Blank Template'!F$7:F$520,'Blank Template'!$B$7:$B$520,$B39,'Blank Template'!$A$7:$A$520,$A39)</f>
        <v>0</v>
      </c>
      <c r="G39" s="58">
        <f>SUMIFS('9397 BOEE'!G$7:G$559,'9397 BOEE'!$B$7:$B$559,$B39,'9397 BOEE'!$A$7:$A$559,$A39)+SUMIFS('2217 Teachers Certs Clearing'!G$7:G$518,'2217 Teachers Certs Clearing'!$B$7:$B$518,$B39,'2217 Teachers Certs Clearing'!$A$7:$A$518,$A39)+SUMIFS('Blank Template'!G$7:G$520,'Blank Template'!$B$7:$B$520,$B39,'Blank Template'!$A$7:$A$520,$A39)</f>
        <v>0</v>
      </c>
      <c r="H39" s="58">
        <f>SUMIFS('9397 BOEE'!H$7:H$559,'9397 BOEE'!$B$7:$B$559,$B39,'9397 BOEE'!$A$7:$A$559,$A39)+SUMIFS('2217 Teachers Certs Clearing'!H$7:H$518,'2217 Teachers Certs Clearing'!$B$7:$B$518,$B39,'2217 Teachers Certs Clearing'!$A$7:$A$518,$A39)+SUMIFS('Blank Template'!H$7:H$520,'Blank Template'!$B$7:$B$520,$B39,'Blank Template'!$A$7:$A$520,$A39)</f>
        <v>0</v>
      </c>
      <c r="I39" s="58">
        <f>SUMIFS('9397 BOEE'!I$7:I$559,'9397 BOEE'!$B$7:$B$559,$B39,'9397 BOEE'!$A$7:$A$559,$A39)+SUMIFS('2217 Teachers Certs Clearing'!I$7:I$518,'2217 Teachers Certs Clearing'!$B$7:$B$518,$B39,'2217 Teachers Certs Clearing'!$A$7:$A$518,$A39)+SUMIFS('Blank Template'!I$7:I$520,'Blank Template'!$B$7:$B$520,$B39,'Blank Template'!$A$7:$A$520,$A39)</f>
        <v>0</v>
      </c>
      <c r="J39" s="58">
        <f>SUMIFS('9397 BOEE'!J$7:J$559,'9397 BOEE'!$B$7:$B$559,$B39,'9397 BOEE'!$A$7:$A$559,$A39)+SUMIFS('2217 Teachers Certs Clearing'!J$7:J$518,'2217 Teachers Certs Clearing'!$B$7:$B$518,$B39,'2217 Teachers Certs Clearing'!$A$7:$A$518,$A39)+SUMIFS('Blank Template'!J$7:J$520,'Blank Template'!$B$7:$B$520,$B39,'Blank Template'!$A$7:$A$520,$A39)</f>
        <v>0</v>
      </c>
      <c r="K39" s="58">
        <f>SUMIFS('9397 BOEE'!K$7:K$559,'9397 BOEE'!$B$7:$B$559,$B39,'9397 BOEE'!$A$7:$A$559,$A39)+SUMIFS('2217 Teachers Certs Clearing'!K$7:K$518,'2217 Teachers Certs Clearing'!$B$7:$B$518,$B39,'2217 Teachers Certs Clearing'!$A$7:$A$518,$A39)+SUMIFS('Blank Template'!K$7:K$520,'Blank Template'!$B$7:$B$520,$B39,'Blank Template'!$A$7:$A$520,$A39)</f>
        <v>0</v>
      </c>
      <c r="L39" s="58">
        <f>SUMIFS('9397 BOEE'!L$7:L$559,'9397 BOEE'!$B$7:$B$559,$B39,'9397 BOEE'!$A$7:$A$559,$A39)+SUMIFS('2217 Teachers Certs Clearing'!L$7:L$518,'2217 Teachers Certs Clearing'!$B$7:$B$518,$B39,'2217 Teachers Certs Clearing'!$A$7:$A$518,$A39)+SUMIFS('Blank Template'!L$7:L$520,'Blank Template'!$B$7:$B$520,$B39,'Blank Template'!$A$7:$A$520,$A39)</f>
        <v>0</v>
      </c>
      <c r="M39" s="58" t="e">
        <f>SUMIFS('9397 BOEE'!M$7:M$560,'9397 BOEE'!$B$7:$B$559,$B39,'9397 BOEE'!$A$7:$A$559,$A39)+SUMIFS('2217 Teachers Certs Clearing'!M$7:M$518,'2217 Teachers Certs Clearing'!$B$7:$B$518,$B39,'2217 Teachers Certs Clearing'!$A$7:$A$518,$A39)+SUMIFS('Blank Template'!M$7:M$520,'Blank Template'!$B$7:$B$520,$B39,'Blank Template'!$A$7:$A$520,$A39)</f>
        <v>#VALUE!</v>
      </c>
      <c r="N39" s="58" t="e">
        <f>SUMIFS('9397 BOEE'!N$7:N$560,'9397 BOEE'!$B$7:$B$559,$B39,'9397 BOEE'!$A$7:$A$559,$A39)+SUMIFS('2217 Teachers Certs Clearing'!N$7:N$518,'2217 Teachers Certs Clearing'!$B$7:$B$518,$B39,'2217 Teachers Certs Clearing'!$A$7:$A$518,$A39)+SUMIFS('Blank Template'!N$7:N$520,'Blank Template'!$B$7:$B$520,$B39,'Blank Template'!$A$7:$A$520,$A39)</f>
        <v>#VALUE!</v>
      </c>
      <c r="O39" s="58" t="e">
        <f>SUMIFS('9397 BOEE'!O$7:O$560,'9397 BOEE'!$B$7:$B$559,$B39,'9397 BOEE'!$A$7:$A$559,$A39)+SUMIFS('2217 Teachers Certs Clearing'!O$7:O$518,'2217 Teachers Certs Clearing'!$B$7:$B$518,$B39,'2217 Teachers Certs Clearing'!$A$7:$A$518,$A39)+SUMIFS('Blank Template'!O$7:O$520,'Blank Template'!$B$7:$B$520,$B39,'Blank Template'!$A$7:$A$520,$A39)</f>
        <v>#VALUE!</v>
      </c>
      <c r="P39" s="58">
        <f>SUMIFS('9397 BOEE'!P$7:P$559,'9397 BOEE'!$B$7:$B$559,$B39,'9397 BOEE'!$A$7:$A$559,$A39)+SUMIFS('2217 Teachers Certs Clearing'!P$7:P$518,'2217 Teachers Certs Clearing'!$B$7:$B$518,$B39,'2217 Teachers Certs Clearing'!$A$7:$A$518,$A39)+SUMIFS('Blank Template'!P$7:P$520,'Blank Template'!$B$7:$B$520,$B39,'Blank Template'!$A$7:$A$520,$A39)</f>
        <v>0</v>
      </c>
      <c r="Q39" s="58">
        <f>SUMIFS('9397 BOEE'!Q$7:Q$559,'9397 BOEE'!$B$7:$B$559,$B39,'9397 BOEE'!$A$7:$A$559,$A39)+SUMIFS('2217 Teachers Certs Clearing'!Q$7:Q$518,'2217 Teachers Certs Clearing'!$B$7:$B$518,$B39,'2217 Teachers Certs Clearing'!$A$7:$A$518,$A39)+SUMIFS('Blank Template'!Q$7:Q$520,'Blank Template'!$B$7:$B$520,$B39,'Blank Template'!$A$7:$A$520,$A39)</f>
        <v>0</v>
      </c>
      <c r="R39" s="58">
        <f>SUMIFS('9397 BOEE'!R$7:R$559,'9397 BOEE'!$B$7:$B$559,$B39,'9397 BOEE'!$A$7:$A$559,$A39)+SUMIFS('2217 Teachers Certs Clearing'!R$7:R$518,'2217 Teachers Certs Clearing'!$B$7:$B$518,$B39,'2217 Teachers Certs Clearing'!$A$7:$A$518,$A39)+SUMIFS('Blank Template'!R$7:R$520,'Blank Template'!$B$7:$B$520,$B39,'Blank Template'!$A$7:$A$520,$A39)</f>
        <v>0</v>
      </c>
      <c r="S39" s="58">
        <f>SUMIFS('9397 BOEE'!S$7:S$559,'9397 BOEE'!$B$7:$B$559,$B39,'9397 BOEE'!$A$7:$A$559,$A39)+SUMIFS('2217 Teachers Certs Clearing'!S$7:S$518,'2217 Teachers Certs Clearing'!$B$7:$B$518,$B39,'2217 Teachers Certs Clearing'!$A$7:$A$518,$A39)+SUMIFS('Blank Template'!S$7:S$520,'Blank Template'!$B$7:$B$520,$B39,'Blank Template'!$A$7:$A$520,$A39)</f>
        <v>0</v>
      </c>
      <c r="T39" s="58" t="e">
        <f t="shared" si="8"/>
        <v>#VALUE!</v>
      </c>
      <c r="U39" s="58">
        <f>SUMIFS('9397 BOEE'!U$7:U$559,'9397 BOEE'!$B$7:$B$559,$B39,'9397 BOEE'!$A$7:$A$559,$A39)+SUMIFS('2217 Teachers Certs Clearing'!U$7:U$518,'2217 Teachers Certs Clearing'!$B$7:$B$518,$B39,'2217 Teachers Certs Clearing'!$A$7:$A$518,$A39)+SUMIFS('Blank Template'!U$7:U$520,'Blank Template'!$B$7:$B$520,$B39,'Blank Template'!$A$7:$A$520,$A39)</f>
        <v>25000</v>
      </c>
      <c r="V39" s="71">
        <f t="shared" ref="V39" si="18">IF(U39=0,0,SUMIF($D$6:$R$6,$X$2,D39:R39)/U39)</f>
        <v>0</v>
      </c>
      <c r="W39" s="71" t="e">
        <f t="shared" ref="W39" si="19">IF(U39=0,0,T39/U39)</f>
        <v>#VALUE!</v>
      </c>
      <c r="Y39" s="5"/>
      <c r="Z39" s="5"/>
    </row>
    <row r="40" spans="1:26" s="1" customFormat="1" ht="18" customHeight="1" x14ac:dyDescent="0.2">
      <c r="A40" s="57" t="s">
        <v>97</v>
      </c>
      <c r="B40" s="57" t="s">
        <v>70</v>
      </c>
      <c r="C40" s="57"/>
      <c r="D40" s="58">
        <f>SUMIFS('9397 BOEE'!D$7:D$559,'9397 BOEE'!$B$7:$B$559,$B40,'9397 BOEE'!$A$7:$A$559,$A40)+SUMIFS('2217 Teachers Certs Clearing'!D$7:D$518,'2217 Teachers Certs Clearing'!$B$7:$B$518,$B40,'2217 Teachers Certs Clearing'!$A$7:$A$518,$A40)+SUMIFS('Blank Template'!D$7:D$520,'Blank Template'!$B$7:$B$520,$B40,'Blank Template'!$A$7:$A$520,$A40)</f>
        <v>0</v>
      </c>
      <c r="E40" s="58">
        <f>SUMIFS('9397 BOEE'!E$7:E$559,'9397 BOEE'!$B$7:$B$559,$B40,'9397 BOEE'!$A$7:$A$559,$A40)+SUMIFS('2217 Teachers Certs Clearing'!E$7:E$518,'2217 Teachers Certs Clearing'!$B$7:$B$518,$B40,'2217 Teachers Certs Clearing'!$A$7:$A$518,$A40)+SUMIFS('Blank Template'!E$7:E$520,'Blank Template'!$B$7:$B$520,$B40,'Blank Template'!$A$7:$A$520,$A40)</f>
        <v>0</v>
      </c>
      <c r="F40" s="58">
        <f>SUMIFS('9397 BOEE'!F$7:F$559,'9397 BOEE'!$B$7:$B$559,$B40,'9397 BOEE'!$A$7:$A$559,$A40)+SUMIFS('2217 Teachers Certs Clearing'!F$7:F$518,'2217 Teachers Certs Clearing'!$B$7:$B$518,$B40,'2217 Teachers Certs Clearing'!$A$7:$A$518,$A40)+SUMIFS('Blank Template'!F$7:F$520,'Blank Template'!$B$7:$B$520,$B40,'Blank Template'!$A$7:$A$520,$A40)</f>
        <v>0</v>
      </c>
      <c r="G40" s="58">
        <f>SUMIFS('9397 BOEE'!G$7:G$559,'9397 BOEE'!$B$7:$B$559,$B40,'9397 BOEE'!$A$7:$A$559,$A40)+SUMIFS('2217 Teachers Certs Clearing'!G$7:G$518,'2217 Teachers Certs Clearing'!$B$7:$B$518,$B40,'2217 Teachers Certs Clearing'!$A$7:$A$518,$A40)+SUMIFS('Blank Template'!G$7:G$520,'Blank Template'!$B$7:$B$520,$B40,'Blank Template'!$A$7:$A$520,$A40)</f>
        <v>0</v>
      </c>
      <c r="H40" s="58">
        <f>SUMIFS('9397 BOEE'!H$7:H$559,'9397 BOEE'!$B$7:$B$559,$B40,'9397 BOEE'!$A$7:$A$559,$A40)+SUMIFS('2217 Teachers Certs Clearing'!H$7:H$518,'2217 Teachers Certs Clearing'!$B$7:$B$518,$B40,'2217 Teachers Certs Clearing'!$A$7:$A$518,$A40)+SUMIFS('Blank Template'!H$7:H$520,'Blank Template'!$B$7:$B$520,$B40,'Blank Template'!$A$7:$A$520,$A40)</f>
        <v>0</v>
      </c>
      <c r="I40" s="58">
        <f>SUMIFS('9397 BOEE'!I$7:I$559,'9397 BOEE'!$B$7:$B$559,$B40,'9397 BOEE'!$A$7:$A$559,$A40)+SUMIFS('2217 Teachers Certs Clearing'!I$7:I$518,'2217 Teachers Certs Clearing'!$B$7:$B$518,$B40,'2217 Teachers Certs Clearing'!$A$7:$A$518,$A40)+SUMIFS('Blank Template'!I$7:I$520,'Blank Template'!$B$7:$B$520,$B40,'Blank Template'!$A$7:$A$520,$A40)</f>
        <v>0</v>
      </c>
      <c r="J40" s="58">
        <f>SUMIFS('9397 BOEE'!J$7:J$559,'9397 BOEE'!$B$7:$B$559,$B40,'9397 BOEE'!$A$7:$A$559,$A40)+SUMIFS('2217 Teachers Certs Clearing'!J$7:J$518,'2217 Teachers Certs Clearing'!$B$7:$B$518,$B40,'2217 Teachers Certs Clearing'!$A$7:$A$518,$A40)+SUMIFS('Blank Template'!J$7:J$520,'Blank Template'!$B$7:$B$520,$B40,'Blank Template'!$A$7:$A$520,$A40)</f>
        <v>0</v>
      </c>
      <c r="K40" s="58">
        <f>SUMIFS('9397 BOEE'!K$7:K$559,'9397 BOEE'!$B$7:$B$559,$B40,'9397 BOEE'!$A$7:$A$559,$A40)+SUMIFS('2217 Teachers Certs Clearing'!K$7:K$518,'2217 Teachers Certs Clearing'!$B$7:$B$518,$B40,'2217 Teachers Certs Clearing'!$A$7:$A$518,$A40)+SUMIFS('Blank Template'!K$7:K$520,'Blank Template'!$B$7:$B$520,$B40,'Blank Template'!$A$7:$A$520,$A40)</f>
        <v>0</v>
      </c>
      <c r="L40" s="58">
        <f>SUMIFS('9397 BOEE'!L$7:L$559,'9397 BOEE'!$B$7:$B$559,$B40,'9397 BOEE'!$A$7:$A$559,$A40)+SUMIFS('2217 Teachers Certs Clearing'!L$7:L$518,'2217 Teachers Certs Clearing'!$B$7:$B$518,$B40,'2217 Teachers Certs Clearing'!$A$7:$A$518,$A40)+SUMIFS('Blank Template'!L$7:L$520,'Blank Template'!$B$7:$B$520,$B40,'Blank Template'!$A$7:$A$520,$A40)</f>
        <v>0</v>
      </c>
      <c r="M40" s="58" t="e">
        <f>SUMIFS('9397 BOEE'!M$7:M$560,'9397 BOEE'!$B$7:$B$559,$B40,'9397 BOEE'!$A$7:$A$559,$A40)+SUMIFS('2217 Teachers Certs Clearing'!M$7:M$518,'2217 Teachers Certs Clearing'!$B$7:$B$518,$B40,'2217 Teachers Certs Clearing'!$A$7:$A$518,$A40)+SUMIFS('Blank Template'!M$7:M$520,'Blank Template'!$B$7:$B$520,$B40,'Blank Template'!$A$7:$A$520,$A40)</f>
        <v>#VALUE!</v>
      </c>
      <c r="N40" s="58" t="e">
        <f>SUMIFS('9397 BOEE'!N$7:N$560,'9397 BOEE'!$B$7:$B$559,$B40,'9397 BOEE'!$A$7:$A$559,$A40)+SUMIFS('2217 Teachers Certs Clearing'!N$7:N$518,'2217 Teachers Certs Clearing'!$B$7:$B$518,$B40,'2217 Teachers Certs Clearing'!$A$7:$A$518,$A40)+SUMIFS('Blank Template'!N$7:N$520,'Blank Template'!$B$7:$B$520,$B40,'Blank Template'!$A$7:$A$520,$A40)</f>
        <v>#VALUE!</v>
      </c>
      <c r="O40" s="58" t="e">
        <f>SUMIFS('9397 BOEE'!O$7:O$560,'9397 BOEE'!$B$7:$B$559,$B40,'9397 BOEE'!$A$7:$A$559,$A40)+SUMIFS('2217 Teachers Certs Clearing'!O$7:O$518,'2217 Teachers Certs Clearing'!$B$7:$B$518,$B40,'2217 Teachers Certs Clearing'!$A$7:$A$518,$A40)+SUMIFS('Blank Template'!O$7:O$520,'Blank Template'!$B$7:$B$520,$B40,'Blank Template'!$A$7:$A$520,$A40)</f>
        <v>#VALUE!</v>
      </c>
      <c r="P40" s="58">
        <f>SUMIFS('9397 BOEE'!P$7:P$559,'9397 BOEE'!$B$7:$B$559,$B40,'9397 BOEE'!$A$7:$A$559,$A40)+SUMIFS('2217 Teachers Certs Clearing'!P$7:P$518,'2217 Teachers Certs Clearing'!$B$7:$B$518,$B40,'2217 Teachers Certs Clearing'!$A$7:$A$518,$A40)+SUMIFS('Blank Template'!P$7:P$520,'Blank Template'!$B$7:$B$520,$B40,'Blank Template'!$A$7:$A$520,$A40)</f>
        <v>0</v>
      </c>
      <c r="Q40" s="58">
        <f>SUMIFS('9397 BOEE'!Q$7:Q$559,'9397 BOEE'!$B$7:$B$559,$B40,'9397 BOEE'!$A$7:$A$559,$A40)+SUMIFS('2217 Teachers Certs Clearing'!Q$7:Q$518,'2217 Teachers Certs Clearing'!$B$7:$B$518,$B40,'2217 Teachers Certs Clearing'!$A$7:$A$518,$A40)+SUMIFS('Blank Template'!Q$7:Q$520,'Blank Template'!$B$7:$B$520,$B40,'Blank Template'!$A$7:$A$520,$A40)</f>
        <v>0</v>
      </c>
      <c r="R40" s="58">
        <f>SUMIFS('9397 BOEE'!R$7:R$559,'9397 BOEE'!$B$7:$B$559,$B40,'9397 BOEE'!$A$7:$A$559,$A40)+SUMIFS('2217 Teachers Certs Clearing'!R$7:R$518,'2217 Teachers Certs Clearing'!$B$7:$B$518,$B40,'2217 Teachers Certs Clearing'!$A$7:$A$518,$A40)+SUMIFS('Blank Template'!R$7:R$520,'Blank Template'!$B$7:$B$520,$B40,'Blank Template'!$A$7:$A$520,$A40)</f>
        <v>0</v>
      </c>
      <c r="S40" s="58">
        <f>SUMIFS('9397 BOEE'!S$7:S$559,'9397 BOEE'!$B$7:$B$559,$B40,'9397 BOEE'!$A$7:$A$559,$A40)+SUMIFS('2217 Teachers Certs Clearing'!S$7:S$518,'2217 Teachers Certs Clearing'!$B$7:$B$518,$B40,'2217 Teachers Certs Clearing'!$A$7:$A$518,$A40)+SUMIFS('Blank Template'!S$7:S$520,'Blank Template'!$B$7:$B$520,$B40,'Blank Template'!$A$7:$A$520,$A40)</f>
        <v>0</v>
      </c>
      <c r="T40" s="58" t="e">
        <f t="shared" si="8"/>
        <v>#VALUE!</v>
      </c>
      <c r="U40" s="58">
        <f>SUMIFS('9397 BOEE'!U$7:U$559,'9397 BOEE'!$B$7:$B$559,$B40,'9397 BOEE'!$A$7:$A$559,$A40)+SUMIFS('2217 Teachers Certs Clearing'!U$7:U$518,'2217 Teachers Certs Clearing'!$B$7:$B$518,$B40,'2217 Teachers Certs Clearing'!$A$7:$A$518,$A40)+SUMIFS('Blank Template'!U$7:U$520,'Blank Template'!$B$7:$B$520,$B40,'Blank Template'!$A$7:$A$520,$A40)</f>
        <v>54000</v>
      </c>
      <c r="V40" s="71">
        <f t="shared" si="9"/>
        <v>0</v>
      </c>
      <c r="W40" s="71" t="e">
        <f t="shared" si="10"/>
        <v>#VALUE!</v>
      </c>
      <c r="Y40" s="5"/>
      <c r="Z40" s="5"/>
    </row>
    <row r="41" spans="1:26" s="1" customFormat="1" ht="18" customHeight="1" x14ac:dyDescent="0.2">
      <c r="A41" s="57" t="s">
        <v>120</v>
      </c>
      <c r="B41" s="57" t="s">
        <v>121</v>
      </c>
      <c r="C41" s="57"/>
      <c r="D41" s="58">
        <f>SUMIFS('9397 BOEE'!D$7:D$559,'9397 BOEE'!$B$7:$B$559,$B41,'9397 BOEE'!$A$7:$A$559,$A41)+SUMIFS('2217 Teachers Certs Clearing'!D$7:D$518,'2217 Teachers Certs Clearing'!$B$7:$B$518,$B41,'2217 Teachers Certs Clearing'!$A$7:$A$518,$A41)+SUMIFS('Blank Template'!D$7:D$520,'Blank Template'!$B$7:$B$520,$B41,'Blank Template'!$A$7:$A$520,$A41)</f>
        <v>0</v>
      </c>
      <c r="E41" s="58">
        <f>SUMIFS('9397 BOEE'!E$7:E$559,'9397 BOEE'!$B$7:$B$559,$B41,'9397 BOEE'!$A$7:$A$559,$A41)+SUMIFS('2217 Teachers Certs Clearing'!E$7:E$518,'2217 Teachers Certs Clearing'!$B$7:$B$518,$B41,'2217 Teachers Certs Clearing'!$A$7:$A$518,$A41)+SUMIFS('Blank Template'!E$7:E$520,'Blank Template'!$B$7:$B$520,$B41,'Blank Template'!$A$7:$A$520,$A41)</f>
        <v>0</v>
      </c>
      <c r="F41" s="58">
        <f>SUMIFS('9397 BOEE'!F$7:F$559,'9397 BOEE'!$B$7:$B$559,$B41,'9397 BOEE'!$A$7:$A$559,$A41)+SUMIFS('2217 Teachers Certs Clearing'!F$7:F$518,'2217 Teachers Certs Clearing'!$B$7:$B$518,$B41,'2217 Teachers Certs Clearing'!$A$7:$A$518,$A41)+SUMIFS('Blank Template'!F$7:F$520,'Blank Template'!$B$7:$B$520,$B41,'Blank Template'!$A$7:$A$520,$A41)</f>
        <v>0</v>
      </c>
      <c r="G41" s="58">
        <f>SUMIFS('9397 BOEE'!G$7:G$559,'9397 BOEE'!$B$7:$B$559,$B41,'9397 BOEE'!$A$7:$A$559,$A41)+SUMIFS('2217 Teachers Certs Clearing'!G$7:G$518,'2217 Teachers Certs Clearing'!$B$7:$B$518,$B41,'2217 Teachers Certs Clearing'!$A$7:$A$518,$A41)+SUMIFS('Blank Template'!G$7:G$520,'Blank Template'!$B$7:$B$520,$B41,'Blank Template'!$A$7:$A$520,$A41)</f>
        <v>0</v>
      </c>
      <c r="H41" s="58">
        <f>SUMIFS('9397 BOEE'!H$7:H$559,'9397 BOEE'!$B$7:$B$559,$B41,'9397 BOEE'!$A$7:$A$559,$A41)+SUMIFS('2217 Teachers Certs Clearing'!H$7:H$518,'2217 Teachers Certs Clearing'!$B$7:$B$518,$B41,'2217 Teachers Certs Clearing'!$A$7:$A$518,$A41)+SUMIFS('Blank Template'!H$7:H$520,'Blank Template'!$B$7:$B$520,$B41,'Blank Template'!$A$7:$A$520,$A41)</f>
        <v>0</v>
      </c>
      <c r="I41" s="58">
        <f>SUMIFS('9397 BOEE'!I$7:I$559,'9397 BOEE'!$B$7:$B$559,$B41,'9397 BOEE'!$A$7:$A$559,$A41)+SUMIFS('2217 Teachers Certs Clearing'!I$7:I$518,'2217 Teachers Certs Clearing'!$B$7:$B$518,$B41,'2217 Teachers Certs Clearing'!$A$7:$A$518,$A41)+SUMIFS('Blank Template'!I$7:I$520,'Blank Template'!$B$7:$B$520,$B41,'Blank Template'!$A$7:$A$520,$A41)</f>
        <v>0</v>
      </c>
      <c r="J41" s="58">
        <f>SUMIFS('9397 BOEE'!J$7:J$559,'9397 BOEE'!$B$7:$B$559,$B41,'9397 BOEE'!$A$7:$A$559,$A41)+SUMIFS('2217 Teachers Certs Clearing'!J$7:J$518,'2217 Teachers Certs Clearing'!$B$7:$B$518,$B41,'2217 Teachers Certs Clearing'!$A$7:$A$518,$A41)+SUMIFS('Blank Template'!J$7:J$520,'Blank Template'!$B$7:$B$520,$B41,'Blank Template'!$A$7:$A$520,$A41)</f>
        <v>0</v>
      </c>
      <c r="K41" s="58">
        <f>SUMIFS('9397 BOEE'!K$7:K$559,'9397 BOEE'!$B$7:$B$559,$B41,'9397 BOEE'!$A$7:$A$559,$A41)+SUMIFS('2217 Teachers Certs Clearing'!K$7:K$518,'2217 Teachers Certs Clearing'!$B$7:$B$518,$B41,'2217 Teachers Certs Clearing'!$A$7:$A$518,$A41)+SUMIFS('Blank Template'!K$7:K$520,'Blank Template'!$B$7:$B$520,$B41,'Blank Template'!$A$7:$A$520,$A41)</f>
        <v>0</v>
      </c>
      <c r="L41" s="58">
        <f>SUMIFS('9397 BOEE'!L$7:L$559,'9397 BOEE'!$B$7:$B$559,$B41,'9397 BOEE'!$A$7:$A$559,$A41)+SUMIFS('2217 Teachers Certs Clearing'!L$7:L$518,'2217 Teachers Certs Clearing'!$B$7:$B$518,$B41,'2217 Teachers Certs Clearing'!$A$7:$A$518,$A41)+SUMIFS('Blank Template'!L$7:L$520,'Blank Template'!$B$7:$B$520,$B41,'Blank Template'!$A$7:$A$520,$A41)</f>
        <v>0</v>
      </c>
      <c r="M41" s="58" t="e">
        <f>SUMIFS('9397 BOEE'!M$7:M$560,'9397 BOEE'!$B$7:$B$559,$B41,'9397 BOEE'!$A$7:$A$559,$A41)+SUMIFS('2217 Teachers Certs Clearing'!M$7:M$518,'2217 Teachers Certs Clearing'!$B$7:$B$518,$B41,'2217 Teachers Certs Clearing'!$A$7:$A$518,$A41)+SUMIFS('Blank Template'!M$7:M$520,'Blank Template'!$B$7:$B$520,$B41,'Blank Template'!$A$7:$A$520,$A41)</f>
        <v>#VALUE!</v>
      </c>
      <c r="N41" s="58" t="e">
        <f>SUMIFS('9397 BOEE'!N$7:N$560,'9397 BOEE'!$B$7:$B$559,$B41,'9397 BOEE'!$A$7:$A$559,$A41)+SUMIFS('2217 Teachers Certs Clearing'!N$7:N$518,'2217 Teachers Certs Clearing'!$B$7:$B$518,$B41,'2217 Teachers Certs Clearing'!$A$7:$A$518,$A41)+SUMIFS('Blank Template'!N$7:N$520,'Blank Template'!$B$7:$B$520,$B41,'Blank Template'!$A$7:$A$520,$A41)</f>
        <v>#VALUE!</v>
      </c>
      <c r="O41" s="58" t="e">
        <f>SUMIFS('9397 BOEE'!O$7:O$560,'9397 BOEE'!$B$7:$B$559,$B41,'9397 BOEE'!$A$7:$A$559,$A41)+SUMIFS('2217 Teachers Certs Clearing'!O$7:O$518,'2217 Teachers Certs Clearing'!$B$7:$B$518,$B41,'2217 Teachers Certs Clearing'!$A$7:$A$518,$A41)+SUMIFS('Blank Template'!O$7:O$520,'Blank Template'!$B$7:$B$520,$B41,'Blank Template'!$A$7:$A$520,$A41)</f>
        <v>#VALUE!</v>
      </c>
      <c r="P41" s="58">
        <f>SUMIFS('9397 BOEE'!P$7:P$559,'9397 BOEE'!$B$7:$B$559,$B41,'9397 BOEE'!$A$7:$A$559,$A41)+SUMIFS('2217 Teachers Certs Clearing'!P$7:P$518,'2217 Teachers Certs Clearing'!$B$7:$B$518,$B41,'2217 Teachers Certs Clearing'!$A$7:$A$518,$A41)+SUMIFS('Blank Template'!P$7:P$520,'Blank Template'!$B$7:$B$520,$B41,'Blank Template'!$A$7:$A$520,$A41)</f>
        <v>0</v>
      </c>
      <c r="Q41" s="58">
        <f>SUMIFS('9397 BOEE'!Q$7:Q$559,'9397 BOEE'!$B$7:$B$559,$B41,'9397 BOEE'!$A$7:$A$559,$A41)+SUMIFS('2217 Teachers Certs Clearing'!Q$7:Q$518,'2217 Teachers Certs Clearing'!$B$7:$B$518,$B41,'2217 Teachers Certs Clearing'!$A$7:$A$518,$A41)+SUMIFS('Blank Template'!Q$7:Q$520,'Blank Template'!$B$7:$B$520,$B41,'Blank Template'!$A$7:$A$520,$A41)</f>
        <v>0</v>
      </c>
      <c r="R41" s="58">
        <f>SUMIFS('9397 BOEE'!R$7:R$559,'9397 BOEE'!$B$7:$B$559,$B41,'9397 BOEE'!$A$7:$A$559,$A41)+SUMIFS('2217 Teachers Certs Clearing'!R$7:R$518,'2217 Teachers Certs Clearing'!$B$7:$B$518,$B41,'2217 Teachers Certs Clearing'!$A$7:$A$518,$A41)+SUMIFS('Blank Template'!R$7:R$520,'Blank Template'!$B$7:$B$520,$B41,'Blank Template'!$A$7:$A$520,$A41)</f>
        <v>0</v>
      </c>
      <c r="S41" s="58">
        <f>SUMIFS('9397 BOEE'!S$7:S$559,'9397 BOEE'!$B$7:$B$559,$B41,'9397 BOEE'!$A$7:$A$559,$A41)+SUMIFS('2217 Teachers Certs Clearing'!S$7:S$518,'2217 Teachers Certs Clearing'!$B$7:$B$518,$B41,'2217 Teachers Certs Clearing'!$A$7:$A$518,$A41)+SUMIFS('Blank Template'!S$7:S$520,'Blank Template'!$B$7:$B$520,$B41,'Blank Template'!$A$7:$A$520,$A41)</f>
        <v>0</v>
      </c>
      <c r="T41" s="58" t="e">
        <f t="shared" ref="T41" si="20">SUM(D41:R41)</f>
        <v>#VALUE!</v>
      </c>
      <c r="U41" s="58">
        <f>SUMIFS('9397 BOEE'!U$7:U$559,'9397 BOEE'!$B$7:$B$559,$B41,'9397 BOEE'!$A$7:$A$559,$A41)+SUMIFS('2217 Teachers Certs Clearing'!U$7:U$518,'2217 Teachers Certs Clearing'!$B$7:$B$518,$B41,'2217 Teachers Certs Clearing'!$A$7:$A$518,$A41)+SUMIFS('Blank Template'!U$7:U$520,'Blank Template'!$B$7:$B$520,$B41,'Blank Template'!$A$7:$A$520,$A41)</f>
        <v>0</v>
      </c>
      <c r="V41" s="71">
        <f t="shared" si="9"/>
        <v>0</v>
      </c>
      <c r="W41" s="71">
        <f t="shared" si="10"/>
        <v>0</v>
      </c>
      <c r="Y41" s="5"/>
      <c r="Z41" s="5"/>
    </row>
    <row r="42" spans="1:26" s="1" customFormat="1" ht="18" customHeight="1" x14ac:dyDescent="0.2">
      <c r="A42" s="57" t="s">
        <v>75</v>
      </c>
      <c r="B42" s="57" t="s">
        <v>76</v>
      </c>
      <c r="C42" s="57"/>
      <c r="D42" s="58">
        <f>SUMIFS('9397 BOEE'!D$7:D$559,'9397 BOEE'!$B$7:$B$559,$B42,'9397 BOEE'!$A$7:$A$559,$A42)+SUMIFS('2217 Teachers Certs Clearing'!D$7:D$518,'2217 Teachers Certs Clearing'!$B$7:$B$518,$B42,'2217 Teachers Certs Clearing'!$A$7:$A$518,$A42)+SUMIFS('Blank Template'!D$7:D$520,'Blank Template'!$B$7:$B$520,$B42,'Blank Template'!$A$7:$A$520,$A42)</f>
        <v>0</v>
      </c>
      <c r="E42" s="58">
        <f>SUMIFS('9397 BOEE'!E$7:E$559,'9397 BOEE'!$B$7:$B$559,$B42,'9397 BOEE'!$A$7:$A$559,$A42)+SUMIFS('2217 Teachers Certs Clearing'!E$7:E$518,'2217 Teachers Certs Clearing'!$B$7:$B$518,$B42,'2217 Teachers Certs Clearing'!$A$7:$A$518,$A42)+SUMIFS('Blank Template'!E$7:E$520,'Blank Template'!$B$7:$B$520,$B42,'Blank Template'!$A$7:$A$520,$A42)</f>
        <v>0</v>
      </c>
      <c r="F42" s="58">
        <f>SUMIFS('9397 BOEE'!F$7:F$559,'9397 BOEE'!$B$7:$B$559,$B42,'9397 BOEE'!$A$7:$A$559,$A42)+SUMIFS('2217 Teachers Certs Clearing'!F$7:F$518,'2217 Teachers Certs Clearing'!$B$7:$B$518,$B42,'2217 Teachers Certs Clearing'!$A$7:$A$518,$A42)+SUMIFS('Blank Template'!F$7:F$520,'Blank Template'!$B$7:$B$520,$B42,'Blank Template'!$A$7:$A$520,$A42)</f>
        <v>0</v>
      </c>
      <c r="G42" s="58">
        <f>SUMIFS('9397 BOEE'!G$7:G$559,'9397 BOEE'!$B$7:$B$559,$B42,'9397 BOEE'!$A$7:$A$559,$A42)+SUMIFS('2217 Teachers Certs Clearing'!G$7:G$518,'2217 Teachers Certs Clearing'!$B$7:$B$518,$B42,'2217 Teachers Certs Clearing'!$A$7:$A$518,$A42)+SUMIFS('Blank Template'!G$7:G$520,'Blank Template'!$B$7:$B$520,$B42,'Blank Template'!$A$7:$A$520,$A42)</f>
        <v>11519</v>
      </c>
      <c r="H42" s="58">
        <f>SUMIFS('9397 BOEE'!H$7:H$559,'9397 BOEE'!$B$7:$B$559,$B42,'9397 BOEE'!$A$7:$A$559,$A42)+SUMIFS('2217 Teachers Certs Clearing'!H$7:H$518,'2217 Teachers Certs Clearing'!$B$7:$B$518,$B42,'2217 Teachers Certs Clearing'!$A$7:$A$518,$A42)+SUMIFS('Blank Template'!H$7:H$520,'Blank Template'!$B$7:$B$520,$B42,'Blank Template'!$A$7:$A$520,$A42)</f>
        <v>26303.51</v>
      </c>
      <c r="I42" s="58">
        <f>SUMIFS('9397 BOEE'!I$7:I$559,'9397 BOEE'!$B$7:$B$559,$B42,'9397 BOEE'!$A$7:$A$559,$A42)+SUMIFS('2217 Teachers Certs Clearing'!I$7:I$518,'2217 Teachers Certs Clearing'!$B$7:$B$518,$B42,'2217 Teachers Certs Clearing'!$A$7:$A$518,$A42)+SUMIFS('Blank Template'!I$7:I$520,'Blank Template'!$B$7:$B$520,$B42,'Blank Template'!$A$7:$A$520,$A42)</f>
        <v>0</v>
      </c>
      <c r="J42" s="58">
        <f>SUMIFS('9397 BOEE'!J$7:J$559,'9397 BOEE'!$B$7:$B$559,$B42,'9397 BOEE'!$A$7:$A$559,$A42)+SUMIFS('2217 Teachers Certs Clearing'!J$7:J$518,'2217 Teachers Certs Clearing'!$B$7:$B$518,$B42,'2217 Teachers Certs Clearing'!$A$7:$A$518,$A42)+SUMIFS('Blank Template'!J$7:J$520,'Blank Template'!$B$7:$B$520,$B42,'Blank Template'!$A$7:$A$520,$A42)</f>
        <v>19340</v>
      </c>
      <c r="K42" s="58">
        <f>SUMIFS('9397 BOEE'!K$7:K$559,'9397 BOEE'!$B$7:$B$559,$B42,'9397 BOEE'!$A$7:$A$559,$A42)+SUMIFS('2217 Teachers Certs Clearing'!K$7:K$518,'2217 Teachers Certs Clearing'!$B$7:$B$518,$B42,'2217 Teachers Certs Clearing'!$A$7:$A$518,$A42)+SUMIFS('Blank Template'!K$7:K$520,'Blank Template'!$B$7:$B$520,$B42,'Blank Template'!$A$7:$A$520,$A42)</f>
        <v>30922.57</v>
      </c>
      <c r="L42" s="58">
        <f>SUMIFS('9397 BOEE'!L$7:L$559,'9397 BOEE'!$B$7:$B$559,$B42,'9397 BOEE'!$A$7:$A$559,$A42)+SUMIFS('2217 Teachers Certs Clearing'!L$7:L$518,'2217 Teachers Certs Clearing'!$B$7:$B$518,$B42,'2217 Teachers Certs Clearing'!$A$7:$A$518,$A42)+SUMIFS('Blank Template'!L$7:L$520,'Blank Template'!$B$7:$B$520,$B42,'Blank Template'!$A$7:$A$520,$A42)</f>
        <v>0</v>
      </c>
      <c r="M42" s="58" t="e">
        <f>SUMIFS('9397 BOEE'!M$7:M$560,'9397 BOEE'!$B$7:$B$559,$B42,'9397 BOEE'!$A$7:$A$559,$A42)+SUMIFS('2217 Teachers Certs Clearing'!M$7:M$518,'2217 Teachers Certs Clearing'!$B$7:$B$518,$B42,'2217 Teachers Certs Clearing'!$A$7:$A$518,$A42)+SUMIFS('Blank Template'!M$7:M$520,'Blank Template'!$B$7:$B$520,$B42,'Blank Template'!$A$7:$A$520,$A42)</f>
        <v>#VALUE!</v>
      </c>
      <c r="N42" s="58" t="e">
        <f>SUMIFS('9397 BOEE'!N$7:N$560,'9397 BOEE'!$B$7:$B$559,$B42,'9397 BOEE'!$A$7:$A$559,$A42)+SUMIFS('2217 Teachers Certs Clearing'!N$7:N$518,'2217 Teachers Certs Clearing'!$B$7:$B$518,$B42,'2217 Teachers Certs Clearing'!$A$7:$A$518,$A42)+SUMIFS('Blank Template'!N$7:N$520,'Blank Template'!$B$7:$B$520,$B42,'Blank Template'!$A$7:$A$520,$A42)</f>
        <v>#VALUE!</v>
      </c>
      <c r="O42" s="58" t="e">
        <f>SUMIFS('9397 BOEE'!O$7:O$560,'9397 BOEE'!$B$7:$B$559,$B42,'9397 BOEE'!$A$7:$A$559,$A42)+SUMIFS('2217 Teachers Certs Clearing'!O$7:O$518,'2217 Teachers Certs Clearing'!$B$7:$B$518,$B42,'2217 Teachers Certs Clearing'!$A$7:$A$518,$A42)+SUMIFS('Blank Template'!O$7:O$520,'Blank Template'!$B$7:$B$520,$B42,'Blank Template'!$A$7:$A$520,$A42)</f>
        <v>#VALUE!</v>
      </c>
      <c r="P42" s="58">
        <f>SUMIFS('9397 BOEE'!P$7:P$559,'9397 BOEE'!$B$7:$B$559,$B42,'9397 BOEE'!$A$7:$A$559,$A42)+SUMIFS('2217 Teachers Certs Clearing'!P$7:P$518,'2217 Teachers Certs Clearing'!$B$7:$B$518,$B42,'2217 Teachers Certs Clearing'!$A$7:$A$518,$A42)+SUMIFS('Blank Template'!P$7:P$520,'Blank Template'!$B$7:$B$520,$B42,'Blank Template'!$A$7:$A$520,$A42)</f>
        <v>0</v>
      </c>
      <c r="Q42" s="58">
        <f>SUMIFS('9397 BOEE'!Q$7:Q$559,'9397 BOEE'!$B$7:$B$559,$B42,'9397 BOEE'!$A$7:$A$559,$A42)+SUMIFS('2217 Teachers Certs Clearing'!Q$7:Q$518,'2217 Teachers Certs Clearing'!$B$7:$B$518,$B42,'2217 Teachers Certs Clearing'!$A$7:$A$518,$A42)+SUMIFS('Blank Template'!Q$7:Q$520,'Blank Template'!$B$7:$B$520,$B42,'Blank Template'!$A$7:$A$520,$A42)</f>
        <v>0</v>
      </c>
      <c r="R42" s="58">
        <f>SUMIFS('9397 BOEE'!R$7:R$559,'9397 BOEE'!$B$7:$B$559,$B42,'9397 BOEE'!$A$7:$A$559,$A42)+SUMIFS('2217 Teachers Certs Clearing'!R$7:R$518,'2217 Teachers Certs Clearing'!$B$7:$B$518,$B42,'2217 Teachers Certs Clearing'!$A$7:$A$518,$A42)+SUMIFS('Blank Template'!R$7:R$520,'Blank Template'!$B$7:$B$520,$B42,'Blank Template'!$A$7:$A$520,$A42)</f>
        <v>0</v>
      </c>
      <c r="S42" s="58">
        <f>SUMIFS('9397 BOEE'!S$7:S$559,'9397 BOEE'!$B$7:$B$559,$B42,'9397 BOEE'!$A$7:$A$559,$A42)+SUMIFS('2217 Teachers Certs Clearing'!S$7:S$518,'2217 Teachers Certs Clearing'!$B$7:$B$518,$B42,'2217 Teachers Certs Clearing'!$A$7:$A$518,$A42)+SUMIFS('Blank Template'!S$7:S$520,'Blank Template'!$B$7:$B$520,$B42,'Blank Template'!$A$7:$A$520,$A42)</f>
        <v>88085.079999999987</v>
      </c>
      <c r="T42" s="58" t="e">
        <f t="shared" si="8"/>
        <v>#VALUE!</v>
      </c>
      <c r="U42" s="58">
        <f>SUMIFS('9397 BOEE'!U$7:U$559,'9397 BOEE'!$B$7:$B$559,$B42,'9397 BOEE'!$A$7:$A$559,$A42)+SUMIFS('2217 Teachers Certs Clearing'!U$7:U$518,'2217 Teachers Certs Clearing'!$B$7:$B$518,$B42,'2217 Teachers Certs Clearing'!$A$7:$A$518,$A42)+SUMIFS('Blank Template'!U$7:U$520,'Blank Template'!$B$7:$B$520,$B42,'Blank Template'!$A$7:$A$520,$A42)</f>
        <v>320000</v>
      </c>
      <c r="V42" s="71">
        <f t="shared" si="9"/>
        <v>0</v>
      </c>
      <c r="W42" s="71" t="e">
        <f t="shared" si="10"/>
        <v>#VALUE!</v>
      </c>
      <c r="Y42" s="5"/>
      <c r="Z42" s="5"/>
    </row>
    <row r="43" spans="1:26" s="1" customFormat="1" ht="18" customHeight="1" x14ac:dyDescent="0.2">
      <c r="A43" s="57" t="s">
        <v>40</v>
      </c>
      <c r="B43" s="57" t="s">
        <v>146</v>
      </c>
      <c r="C43" s="57"/>
      <c r="D43" s="58">
        <f>SUMIFS('9397 BOEE'!D$7:D$559,'9397 BOEE'!$B$7:$B$559,$B43,'9397 BOEE'!$A$7:$A$559,$A43)+SUMIFS('2217 Teachers Certs Clearing'!D$7:D$518,'2217 Teachers Certs Clearing'!$B$7:$B$518,$B43,'2217 Teachers Certs Clearing'!$A$7:$A$518,$A43)+SUMIFS('Blank Template'!D$7:D$520,'Blank Template'!$B$7:$B$520,$B43,'Blank Template'!$A$7:$A$520,$A43)</f>
        <v>0</v>
      </c>
      <c r="E43" s="58">
        <f>SUMIFS('9397 BOEE'!E$7:E$559,'9397 BOEE'!$B$7:$B$559,$B43,'9397 BOEE'!$A$7:$A$559,$A43)+SUMIFS('2217 Teachers Certs Clearing'!E$7:E$518,'2217 Teachers Certs Clearing'!$B$7:$B$518,$B43,'2217 Teachers Certs Clearing'!$A$7:$A$518,$A43)+SUMIFS('Blank Template'!E$7:E$520,'Blank Template'!$B$7:$B$520,$B43,'Blank Template'!$A$7:$A$520,$A43)</f>
        <v>0</v>
      </c>
      <c r="F43" s="58">
        <f>SUMIFS('9397 BOEE'!F$7:F$559,'9397 BOEE'!$B$7:$B$559,$B43,'9397 BOEE'!$A$7:$A$559,$A43)+SUMIFS('2217 Teachers Certs Clearing'!F$7:F$518,'2217 Teachers Certs Clearing'!$B$7:$B$518,$B43,'2217 Teachers Certs Clearing'!$A$7:$A$518,$A43)+SUMIFS('Blank Template'!F$7:F$520,'Blank Template'!$B$7:$B$520,$B43,'Blank Template'!$A$7:$A$520,$A43)</f>
        <v>0</v>
      </c>
      <c r="G43" s="58">
        <f>SUMIFS('9397 BOEE'!G$7:G$559,'9397 BOEE'!$B$7:$B$559,$B43,'9397 BOEE'!$A$7:$A$559,$A43)+SUMIFS('2217 Teachers Certs Clearing'!G$7:G$518,'2217 Teachers Certs Clearing'!$B$7:$B$518,$B43,'2217 Teachers Certs Clearing'!$A$7:$A$518,$A43)+SUMIFS('Blank Template'!G$7:G$520,'Blank Template'!$B$7:$B$520,$B43,'Blank Template'!$A$7:$A$520,$A43)</f>
        <v>0</v>
      </c>
      <c r="H43" s="58">
        <f>SUMIFS('9397 BOEE'!H$7:H$559,'9397 BOEE'!$B$7:$B$559,$B43,'9397 BOEE'!$A$7:$A$559,$A43)+SUMIFS('2217 Teachers Certs Clearing'!H$7:H$518,'2217 Teachers Certs Clearing'!$B$7:$B$518,$B43,'2217 Teachers Certs Clearing'!$A$7:$A$518,$A43)+SUMIFS('Blank Template'!H$7:H$520,'Blank Template'!$B$7:$B$520,$B43,'Blank Template'!$A$7:$A$520,$A43)</f>
        <v>0</v>
      </c>
      <c r="I43" s="58">
        <f>SUMIFS('9397 BOEE'!I$7:I$559,'9397 BOEE'!$B$7:$B$559,$B43,'9397 BOEE'!$A$7:$A$559,$A43)+SUMIFS('2217 Teachers Certs Clearing'!I$7:I$518,'2217 Teachers Certs Clearing'!$B$7:$B$518,$B43,'2217 Teachers Certs Clearing'!$A$7:$A$518,$A43)+SUMIFS('Blank Template'!I$7:I$520,'Blank Template'!$B$7:$B$520,$B43,'Blank Template'!$A$7:$A$520,$A43)</f>
        <v>0</v>
      </c>
      <c r="J43" s="58">
        <f>SUMIFS('9397 BOEE'!J$7:J$559,'9397 BOEE'!$B$7:$B$559,$B43,'9397 BOEE'!$A$7:$A$559,$A43)+SUMIFS('2217 Teachers Certs Clearing'!J$7:J$518,'2217 Teachers Certs Clearing'!$B$7:$B$518,$B43,'2217 Teachers Certs Clearing'!$A$7:$A$518,$A43)+SUMIFS('Blank Template'!J$7:J$520,'Blank Template'!$B$7:$B$520,$B43,'Blank Template'!$A$7:$A$520,$A43)</f>
        <v>0</v>
      </c>
      <c r="K43" s="58">
        <f>SUMIFS('9397 BOEE'!K$7:K$559,'9397 BOEE'!$B$7:$B$559,$B43,'9397 BOEE'!$A$7:$A$559,$A43)+SUMIFS('2217 Teachers Certs Clearing'!K$7:K$518,'2217 Teachers Certs Clearing'!$B$7:$B$518,$B43,'2217 Teachers Certs Clearing'!$A$7:$A$518,$A43)+SUMIFS('Blank Template'!K$7:K$520,'Blank Template'!$B$7:$B$520,$B43,'Blank Template'!$A$7:$A$520,$A43)</f>
        <v>0</v>
      </c>
      <c r="L43" s="58">
        <f>SUMIFS('9397 BOEE'!L$7:L$559,'9397 BOEE'!$B$7:$B$559,$B43,'9397 BOEE'!$A$7:$A$559,$A43)+SUMIFS('2217 Teachers Certs Clearing'!L$7:L$518,'2217 Teachers Certs Clearing'!$B$7:$B$518,$B43,'2217 Teachers Certs Clearing'!$A$7:$A$518,$A43)+SUMIFS('Blank Template'!L$7:L$520,'Blank Template'!$B$7:$B$520,$B43,'Blank Template'!$A$7:$A$520,$A43)</f>
        <v>0</v>
      </c>
      <c r="M43" s="58" t="e">
        <f>SUMIFS('9397 BOEE'!M$7:M$560,'9397 BOEE'!$B$7:$B$559,$B43,'9397 BOEE'!$A$7:$A$559,$A43)+SUMIFS('2217 Teachers Certs Clearing'!M$7:M$518,'2217 Teachers Certs Clearing'!$B$7:$B$518,$B43,'2217 Teachers Certs Clearing'!$A$7:$A$518,$A43)+SUMIFS('Blank Template'!M$7:M$520,'Blank Template'!$B$7:$B$520,$B43,'Blank Template'!$A$7:$A$520,$A43)</f>
        <v>#VALUE!</v>
      </c>
      <c r="N43" s="58" t="e">
        <f>SUMIFS('9397 BOEE'!N$7:N$560,'9397 BOEE'!$B$7:$B$559,$B43,'9397 BOEE'!$A$7:$A$559,$A43)+SUMIFS('2217 Teachers Certs Clearing'!N$7:N$518,'2217 Teachers Certs Clearing'!$B$7:$B$518,$B43,'2217 Teachers Certs Clearing'!$A$7:$A$518,$A43)+SUMIFS('Blank Template'!N$7:N$520,'Blank Template'!$B$7:$B$520,$B43,'Blank Template'!$A$7:$A$520,$A43)</f>
        <v>#VALUE!</v>
      </c>
      <c r="O43" s="58" t="e">
        <f>SUMIFS('9397 BOEE'!O$7:O$560,'9397 BOEE'!$B$7:$B$559,$B43,'9397 BOEE'!$A$7:$A$559,$A43)+SUMIFS('2217 Teachers Certs Clearing'!O$7:O$518,'2217 Teachers Certs Clearing'!$B$7:$B$518,$B43,'2217 Teachers Certs Clearing'!$A$7:$A$518,$A43)+SUMIFS('Blank Template'!O$7:O$520,'Blank Template'!$B$7:$B$520,$B43,'Blank Template'!$A$7:$A$520,$A43)</f>
        <v>#VALUE!</v>
      </c>
      <c r="P43" s="58">
        <f>SUMIFS('9397 BOEE'!P$7:P$559,'9397 BOEE'!$B$7:$B$559,$B43,'9397 BOEE'!$A$7:$A$559,$A43)+SUMIFS('2217 Teachers Certs Clearing'!P$7:P$518,'2217 Teachers Certs Clearing'!$B$7:$B$518,$B43,'2217 Teachers Certs Clearing'!$A$7:$A$518,$A43)+SUMIFS('Blank Template'!P$7:P$520,'Blank Template'!$B$7:$B$520,$B43,'Blank Template'!$A$7:$A$520,$A43)</f>
        <v>0</v>
      </c>
      <c r="Q43" s="58">
        <f>SUMIFS('9397 BOEE'!Q$7:Q$559,'9397 BOEE'!$B$7:$B$559,$B43,'9397 BOEE'!$A$7:$A$559,$A43)+SUMIFS('2217 Teachers Certs Clearing'!Q$7:Q$518,'2217 Teachers Certs Clearing'!$B$7:$B$518,$B43,'2217 Teachers Certs Clearing'!$A$7:$A$518,$A43)+SUMIFS('Blank Template'!Q$7:Q$520,'Blank Template'!$B$7:$B$520,$B43,'Blank Template'!$A$7:$A$520,$A43)</f>
        <v>0</v>
      </c>
      <c r="R43" s="58">
        <f>SUMIFS('9397 BOEE'!R$7:R$559,'9397 BOEE'!$B$7:$B$559,$B43,'9397 BOEE'!$A$7:$A$559,$A43)+SUMIFS('2217 Teachers Certs Clearing'!R$7:R$518,'2217 Teachers Certs Clearing'!$B$7:$B$518,$B43,'2217 Teachers Certs Clearing'!$A$7:$A$518,$A43)+SUMIFS('Blank Template'!R$7:R$520,'Blank Template'!$B$7:$B$520,$B43,'Blank Template'!$A$7:$A$520,$A43)</f>
        <v>0</v>
      </c>
      <c r="S43" s="58">
        <f>SUMIFS('9397 BOEE'!S$7:S$559,'9397 BOEE'!$B$7:$B$559,$B43,'9397 BOEE'!$A$7:$A$559,$A43)+SUMIFS('2217 Teachers Certs Clearing'!S$7:S$518,'2217 Teachers Certs Clearing'!$B$7:$B$518,$B43,'2217 Teachers Certs Clearing'!$A$7:$A$518,$A43)+SUMIFS('Blank Template'!S$7:S$520,'Blank Template'!$B$7:$B$520,$B43,'Blank Template'!$A$7:$A$520,$A43)</f>
        <v>0</v>
      </c>
      <c r="T43" s="58" t="e">
        <f t="shared" si="8"/>
        <v>#VALUE!</v>
      </c>
      <c r="U43" s="58">
        <f>SUMIFS('9397 BOEE'!U$7:U$559,'9397 BOEE'!$B$7:$B$559,$B43,'9397 BOEE'!$A$7:$A$559,$A43)+SUMIFS('2217 Teachers Certs Clearing'!U$7:U$518,'2217 Teachers Certs Clearing'!$B$7:$B$518,$B43,'2217 Teachers Certs Clearing'!$A$7:$A$518,$A43)+SUMIFS('Blank Template'!U$7:U$520,'Blank Template'!$B$7:$B$520,$B43,'Blank Template'!$A$7:$A$520,$A43)</f>
        <v>0</v>
      </c>
      <c r="V43" s="71">
        <f t="shared" ref="V43:V44" si="21">IF(U43=0,0,SUMIF($D$6:$R$6,$X$2,D43:R43)/U43)</f>
        <v>0</v>
      </c>
      <c r="W43" s="71">
        <f t="shared" ref="W43:W44" si="22">IF(U43=0,0,T43/U43)</f>
        <v>0</v>
      </c>
      <c r="Y43" s="5"/>
      <c r="Z43" s="5"/>
    </row>
    <row r="44" spans="1:26" s="1" customFormat="1" ht="18" customHeight="1" x14ac:dyDescent="0.2">
      <c r="A44" s="57" t="s">
        <v>145</v>
      </c>
      <c r="B44" s="57" t="s">
        <v>147</v>
      </c>
      <c r="C44" s="57"/>
      <c r="D44" s="58">
        <f>SUMIFS('9397 BOEE'!D$7:D$559,'9397 BOEE'!$B$7:$B$559,$B44,'9397 BOEE'!$A$7:$A$559,$A44)+SUMIFS('2217 Teachers Certs Clearing'!D$7:D$518,'2217 Teachers Certs Clearing'!$B$7:$B$518,$B44,'2217 Teachers Certs Clearing'!$A$7:$A$518,$A44)+SUMIFS('Blank Template'!D$7:D$520,'Blank Template'!$B$7:$B$520,$B44,'Blank Template'!$A$7:$A$520,$A44)</f>
        <v>0</v>
      </c>
      <c r="E44" s="58">
        <f>SUMIFS('9397 BOEE'!E$7:E$559,'9397 BOEE'!$B$7:$B$559,$B44,'9397 BOEE'!$A$7:$A$559,$A44)+SUMIFS('2217 Teachers Certs Clearing'!E$7:E$518,'2217 Teachers Certs Clearing'!$B$7:$B$518,$B44,'2217 Teachers Certs Clearing'!$A$7:$A$518,$A44)+SUMIFS('Blank Template'!E$7:E$520,'Blank Template'!$B$7:$B$520,$B44,'Blank Template'!$A$7:$A$520,$A44)</f>
        <v>0</v>
      </c>
      <c r="F44" s="58">
        <f>SUMIFS('9397 BOEE'!F$7:F$559,'9397 BOEE'!$B$7:$B$559,$B44,'9397 BOEE'!$A$7:$A$559,$A44)+SUMIFS('2217 Teachers Certs Clearing'!F$7:F$518,'2217 Teachers Certs Clearing'!$B$7:$B$518,$B44,'2217 Teachers Certs Clearing'!$A$7:$A$518,$A44)+SUMIFS('Blank Template'!F$7:F$520,'Blank Template'!$B$7:$B$520,$B44,'Blank Template'!$A$7:$A$520,$A44)</f>
        <v>0</v>
      </c>
      <c r="G44" s="58">
        <f>SUMIFS('9397 BOEE'!G$7:G$559,'9397 BOEE'!$B$7:$B$559,$B44,'9397 BOEE'!$A$7:$A$559,$A44)+SUMIFS('2217 Teachers Certs Clearing'!G$7:G$518,'2217 Teachers Certs Clearing'!$B$7:$B$518,$B44,'2217 Teachers Certs Clearing'!$A$7:$A$518,$A44)+SUMIFS('Blank Template'!G$7:G$520,'Blank Template'!$B$7:$B$520,$B44,'Blank Template'!$A$7:$A$520,$A44)</f>
        <v>0</v>
      </c>
      <c r="H44" s="58">
        <f>SUMIFS('9397 BOEE'!H$7:H$559,'9397 BOEE'!$B$7:$B$559,$B44,'9397 BOEE'!$A$7:$A$559,$A44)+SUMIFS('2217 Teachers Certs Clearing'!H$7:H$518,'2217 Teachers Certs Clearing'!$B$7:$B$518,$B44,'2217 Teachers Certs Clearing'!$A$7:$A$518,$A44)+SUMIFS('Blank Template'!H$7:H$520,'Blank Template'!$B$7:$B$520,$B44,'Blank Template'!$A$7:$A$520,$A44)</f>
        <v>0</v>
      </c>
      <c r="I44" s="58">
        <f>SUMIFS('9397 BOEE'!I$7:I$559,'9397 BOEE'!$B$7:$B$559,$B44,'9397 BOEE'!$A$7:$A$559,$A44)+SUMIFS('2217 Teachers Certs Clearing'!I$7:I$518,'2217 Teachers Certs Clearing'!$B$7:$B$518,$B44,'2217 Teachers Certs Clearing'!$A$7:$A$518,$A44)+SUMIFS('Blank Template'!I$7:I$520,'Blank Template'!$B$7:$B$520,$B44,'Blank Template'!$A$7:$A$520,$A44)</f>
        <v>0</v>
      </c>
      <c r="J44" s="58">
        <f>SUMIFS('9397 BOEE'!J$7:J$559,'9397 BOEE'!$B$7:$B$559,$B44,'9397 BOEE'!$A$7:$A$559,$A44)+SUMIFS('2217 Teachers Certs Clearing'!J$7:J$518,'2217 Teachers Certs Clearing'!$B$7:$B$518,$B44,'2217 Teachers Certs Clearing'!$A$7:$A$518,$A44)+SUMIFS('Blank Template'!J$7:J$520,'Blank Template'!$B$7:$B$520,$B44,'Blank Template'!$A$7:$A$520,$A44)</f>
        <v>0</v>
      </c>
      <c r="K44" s="58">
        <f>SUMIFS('9397 BOEE'!K$7:K$559,'9397 BOEE'!$B$7:$B$559,$B44,'9397 BOEE'!$A$7:$A$559,$A44)+SUMIFS('2217 Teachers Certs Clearing'!K$7:K$518,'2217 Teachers Certs Clearing'!$B$7:$B$518,$B44,'2217 Teachers Certs Clearing'!$A$7:$A$518,$A44)+SUMIFS('Blank Template'!K$7:K$520,'Blank Template'!$B$7:$B$520,$B44,'Blank Template'!$A$7:$A$520,$A44)</f>
        <v>0</v>
      </c>
      <c r="L44" s="58">
        <f>SUMIFS('9397 BOEE'!L$7:L$559,'9397 BOEE'!$B$7:$B$559,$B44,'9397 BOEE'!$A$7:$A$559,$A44)+SUMIFS('2217 Teachers Certs Clearing'!L$7:L$518,'2217 Teachers Certs Clearing'!$B$7:$B$518,$B44,'2217 Teachers Certs Clearing'!$A$7:$A$518,$A44)+SUMIFS('Blank Template'!L$7:L$520,'Blank Template'!$B$7:$B$520,$B44,'Blank Template'!$A$7:$A$520,$A44)</f>
        <v>0</v>
      </c>
      <c r="M44" s="58" t="e">
        <f>SUMIFS('9397 BOEE'!M$7:M$560,'9397 BOEE'!$B$7:$B$559,$B44,'9397 BOEE'!$A$7:$A$559,$A44)+SUMIFS('2217 Teachers Certs Clearing'!M$7:M$518,'2217 Teachers Certs Clearing'!$B$7:$B$518,$B44,'2217 Teachers Certs Clearing'!$A$7:$A$518,$A44)+SUMIFS('Blank Template'!M$7:M$520,'Blank Template'!$B$7:$B$520,$B44,'Blank Template'!$A$7:$A$520,$A44)</f>
        <v>#VALUE!</v>
      </c>
      <c r="N44" s="58" t="e">
        <f>SUMIFS('9397 BOEE'!N$7:N$560,'9397 BOEE'!$B$7:$B$559,$B44,'9397 BOEE'!$A$7:$A$559,$A44)+SUMIFS('2217 Teachers Certs Clearing'!N$7:N$518,'2217 Teachers Certs Clearing'!$B$7:$B$518,$B44,'2217 Teachers Certs Clearing'!$A$7:$A$518,$A44)+SUMIFS('Blank Template'!N$7:N$520,'Blank Template'!$B$7:$B$520,$B44,'Blank Template'!$A$7:$A$520,$A44)</f>
        <v>#VALUE!</v>
      </c>
      <c r="O44" s="58" t="e">
        <f>SUMIFS('9397 BOEE'!O$7:O$560,'9397 BOEE'!$B$7:$B$559,$B44,'9397 BOEE'!$A$7:$A$559,$A44)+SUMIFS('2217 Teachers Certs Clearing'!O$7:O$518,'2217 Teachers Certs Clearing'!$B$7:$B$518,$B44,'2217 Teachers Certs Clearing'!$A$7:$A$518,$A44)+SUMIFS('Blank Template'!O$7:O$520,'Blank Template'!$B$7:$B$520,$B44,'Blank Template'!$A$7:$A$520,$A44)</f>
        <v>#VALUE!</v>
      </c>
      <c r="P44" s="58">
        <f>SUMIFS('9397 BOEE'!P$7:P$559,'9397 BOEE'!$B$7:$B$559,$B44,'9397 BOEE'!$A$7:$A$559,$A44)+SUMIFS('2217 Teachers Certs Clearing'!P$7:P$518,'2217 Teachers Certs Clearing'!$B$7:$B$518,$B44,'2217 Teachers Certs Clearing'!$A$7:$A$518,$A44)+SUMIFS('Blank Template'!P$7:P$520,'Blank Template'!$B$7:$B$520,$B44,'Blank Template'!$A$7:$A$520,$A44)</f>
        <v>0</v>
      </c>
      <c r="Q44" s="58">
        <f>SUMIFS('9397 BOEE'!Q$7:Q$559,'9397 BOEE'!$B$7:$B$559,$B44,'9397 BOEE'!$A$7:$A$559,$A44)+SUMIFS('2217 Teachers Certs Clearing'!Q$7:Q$518,'2217 Teachers Certs Clearing'!$B$7:$B$518,$B44,'2217 Teachers Certs Clearing'!$A$7:$A$518,$A44)+SUMIFS('Blank Template'!Q$7:Q$520,'Blank Template'!$B$7:$B$520,$B44,'Blank Template'!$A$7:$A$520,$A44)</f>
        <v>0</v>
      </c>
      <c r="R44" s="58">
        <f>SUMIFS('9397 BOEE'!R$7:R$559,'9397 BOEE'!$B$7:$B$559,$B44,'9397 BOEE'!$A$7:$A$559,$A44)+SUMIFS('2217 Teachers Certs Clearing'!R$7:R$518,'2217 Teachers Certs Clearing'!$B$7:$B$518,$B44,'2217 Teachers Certs Clearing'!$A$7:$A$518,$A44)+SUMIFS('Blank Template'!R$7:R$520,'Blank Template'!$B$7:$B$520,$B44,'Blank Template'!$A$7:$A$520,$A44)</f>
        <v>0</v>
      </c>
      <c r="S44" s="58">
        <f>SUMIFS('9397 BOEE'!S$7:S$559,'9397 BOEE'!$B$7:$B$559,$B44,'9397 BOEE'!$A$7:$A$559,$A44)+SUMIFS('2217 Teachers Certs Clearing'!S$7:S$518,'2217 Teachers Certs Clearing'!$B$7:$B$518,$B44,'2217 Teachers Certs Clearing'!$A$7:$A$518,$A44)+SUMIFS('Blank Template'!S$7:S$520,'Blank Template'!$B$7:$B$520,$B44,'Blank Template'!$A$7:$A$520,$A44)</f>
        <v>0</v>
      </c>
      <c r="T44" s="58" t="e">
        <f t="shared" si="8"/>
        <v>#VALUE!</v>
      </c>
      <c r="U44" s="58">
        <f>SUMIFS('9397 BOEE'!U$7:U$559,'9397 BOEE'!$B$7:$B$559,$B44,'9397 BOEE'!$A$7:$A$559,$A44)+SUMIFS('2217 Teachers Certs Clearing'!U$7:U$518,'2217 Teachers Certs Clearing'!$B$7:$B$518,$B44,'2217 Teachers Certs Clearing'!$A$7:$A$518,$A44)+SUMIFS('Blank Template'!U$7:U$520,'Blank Template'!$B$7:$B$520,$B44,'Blank Template'!$A$7:$A$520,$A44)</f>
        <v>0</v>
      </c>
      <c r="V44" s="71">
        <f t="shared" si="21"/>
        <v>0</v>
      </c>
      <c r="W44" s="71">
        <f t="shared" si="22"/>
        <v>0</v>
      </c>
      <c r="Y44" s="5"/>
      <c r="Z44" s="5"/>
    </row>
    <row r="45" spans="1:26" s="1" customFormat="1" ht="18" customHeight="1" x14ac:dyDescent="0.2">
      <c r="A45" s="57" t="s">
        <v>77</v>
      </c>
      <c r="B45" s="57" t="s">
        <v>78</v>
      </c>
      <c r="C45" s="57"/>
      <c r="D45" s="58">
        <f>SUMIFS('9397 BOEE'!D$7:D$559,'9397 BOEE'!$B$7:$B$559,$B45,'9397 BOEE'!$A$7:$A$559,$A45)+SUMIFS('2217 Teachers Certs Clearing'!D$7:D$518,'2217 Teachers Certs Clearing'!$B$7:$B$518,$B45,'2217 Teachers Certs Clearing'!$A$7:$A$518,$A45)+SUMIFS('Blank Template'!D$7:D$520,'Blank Template'!$B$7:$B$520,$B45,'Blank Template'!$A$7:$A$520,$A45)</f>
        <v>0</v>
      </c>
      <c r="E45" s="58">
        <f>SUMIFS('9397 BOEE'!E$7:E$559,'9397 BOEE'!$B$7:$B$559,$B45,'9397 BOEE'!$A$7:$A$559,$A45)+SUMIFS('2217 Teachers Certs Clearing'!E$7:E$518,'2217 Teachers Certs Clearing'!$B$7:$B$518,$B45,'2217 Teachers Certs Clearing'!$A$7:$A$518,$A45)+SUMIFS('Blank Template'!E$7:E$520,'Blank Template'!$B$7:$B$520,$B45,'Blank Template'!$A$7:$A$520,$A45)</f>
        <v>0</v>
      </c>
      <c r="F45" s="58">
        <f>SUMIFS('9397 BOEE'!F$7:F$559,'9397 BOEE'!$B$7:$B$559,$B45,'9397 BOEE'!$A$7:$A$559,$A45)+SUMIFS('2217 Teachers Certs Clearing'!F$7:F$518,'2217 Teachers Certs Clearing'!$B$7:$B$518,$B45,'2217 Teachers Certs Clearing'!$A$7:$A$518,$A45)+SUMIFS('Blank Template'!F$7:F$520,'Blank Template'!$B$7:$B$520,$B45,'Blank Template'!$A$7:$A$520,$A45)</f>
        <v>0</v>
      </c>
      <c r="G45" s="58">
        <f>SUMIFS('9397 BOEE'!G$7:G$559,'9397 BOEE'!$B$7:$B$559,$B45,'9397 BOEE'!$A$7:$A$559,$A45)+SUMIFS('2217 Teachers Certs Clearing'!G$7:G$518,'2217 Teachers Certs Clearing'!$B$7:$B$518,$B45,'2217 Teachers Certs Clearing'!$A$7:$A$518,$A45)+SUMIFS('Blank Template'!G$7:G$520,'Blank Template'!$B$7:$B$520,$B45,'Blank Template'!$A$7:$A$520,$A45)</f>
        <v>0</v>
      </c>
      <c r="H45" s="58">
        <f>SUMIFS('9397 BOEE'!H$7:H$559,'9397 BOEE'!$B$7:$B$559,$B45,'9397 BOEE'!$A$7:$A$559,$A45)+SUMIFS('2217 Teachers Certs Clearing'!H$7:H$518,'2217 Teachers Certs Clearing'!$B$7:$B$518,$B45,'2217 Teachers Certs Clearing'!$A$7:$A$518,$A45)+SUMIFS('Blank Template'!H$7:H$520,'Blank Template'!$B$7:$B$520,$B45,'Blank Template'!$A$7:$A$520,$A45)</f>
        <v>0</v>
      </c>
      <c r="I45" s="58">
        <f>SUMIFS('9397 BOEE'!I$7:I$559,'9397 BOEE'!$B$7:$B$559,$B45,'9397 BOEE'!$A$7:$A$559,$A45)+SUMIFS('2217 Teachers Certs Clearing'!I$7:I$518,'2217 Teachers Certs Clearing'!$B$7:$B$518,$B45,'2217 Teachers Certs Clearing'!$A$7:$A$518,$A45)+SUMIFS('Blank Template'!I$7:I$520,'Blank Template'!$B$7:$B$520,$B45,'Blank Template'!$A$7:$A$520,$A45)</f>
        <v>0</v>
      </c>
      <c r="J45" s="58">
        <f>SUMIFS('9397 BOEE'!J$7:J$559,'9397 BOEE'!$B$7:$B$559,$B45,'9397 BOEE'!$A$7:$A$559,$A45)+SUMIFS('2217 Teachers Certs Clearing'!J$7:J$518,'2217 Teachers Certs Clearing'!$B$7:$B$518,$B45,'2217 Teachers Certs Clearing'!$A$7:$A$518,$A45)+SUMIFS('Blank Template'!J$7:J$520,'Blank Template'!$B$7:$B$520,$B45,'Blank Template'!$A$7:$A$520,$A45)</f>
        <v>0</v>
      </c>
      <c r="K45" s="58">
        <f>SUMIFS('9397 BOEE'!K$7:K$559,'9397 BOEE'!$B$7:$B$559,$B45,'9397 BOEE'!$A$7:$A$559,$A45)+SUMIFS('2217 Teachers Certs Clearing'!K$7:K$518,'2217 Teachers Certs Clearing'!$B$7:$B$518,$B45,'2217 Teachers Certs Clearing'!$A$7:$A$518,$A45)+SUMIFS('Blank Template'!K$7:K$520,'Blank Template'!$B$7:$B$520,$B45,'Blank Template'!$A$7:$A$520,$A45)</f>
        <v>0</v>
      </c>
      <c r="L45" s="58">
        <f>SUMIFS('9397 BOEE'!L$7:L$559,'9397 BOEE'!$B$7:$B$559,$B45,'9397 BOEE'!$A$7:$A$559,$A45)+SUMIFS('2217 Teachers Certs Clearing'!L$7:L$518,'2217 Teachers Certs Clearing'!$B$7:$B$518,$B45,'2217 Teachers Certs Clearing'!$A$7:$A$518,$A45)+SUMIFS('Blank Template'!L$7:L$520,'Blank Template'!$B$7:$B$520,$B45,'Blank Template'!$A$7:$A$520,$A45)</f>
        <v>0</v>
      </c>
      <c r="M45" s="58" t="e">
        <f>SUMIFS('9397 BOEE'!M$7:M$560,'9397 BOEE'!$B$7:$B$559,$B45,'9397 BOEE'!$A$7:$A$559,$A45)+SUMIFS('2217 Teachers Certs Clearing'!M$7:M$518,'2217 Teachers Certs Clearing'!$B$7:$B$518,$B45,'2217 Teachers Certs Clearing'!$A$7:$A$518,$A45)+SUMIFS('Blank Template'!M$7:M$520,'Blank Template'!$B$7:$B$520,$B45,'Blank Template'!$A$7:$A$520,$A45)</f>
        <v>#VALUE!</v>
      </c>
      <c r="N45" s="58" t="e">
        <f>SUMIFS('9397 BOEE'!N$7:N$560,'9397 BOEE'!$B$7:$B$559,$B45,'9397 BOEE'!$A$7:$A$559,$A45)+SUMIFS('2217 Teachers Certs Clearing'!N$7:N$518,'2217 Teachers Certs Clearing'!$B$7:$B$518,$B45,'2217 Teachers Certs Clearing'!$A$7:$A$518,$A45)+SUMIFS('Blank Template'!N$7:N$520,'Blank Template'!$B$7:$B$520,$B45,'Blank Template'!$A$7:$A$520,$A45)</f>
        <v>#VALUE!</v>
      </c>
      <c r="O45" s="58" t="e">
        <f>SUMIFS('9397 BOEE'!O$7:O$560,'9397 BOEE'!$B$7:$B$559,$B45,'9397 BOEE'!$A$7:$A$559,$A45)+SUMIFS('2217 Teachers Certs Clearing'!O$7:O$518,'2217 Teachers Certs Clearing'!$B$7:$B$518,$B45,'2217 Teachers Certs Clearing'!$A$7:$A$518,$A45)+SUMIFS('Blank Template'!O$7:O$520,'Blank Template'!$B$7:$B$520,$B45,'Blank Template'!$A$7:$A$520,$A45)</f>
        <v>#VALUE!</v>
      </c>
      <c r="P45" s="58">
        <f>SUMIFS('9397 BOEE'!P$7:P$559,'9397 BOEE'!$B$7:$B$559,$B45,'9397 BOEE'!$A$7:$A$559,$A45)+SUMIFS('2217 Teachers Certs Clearing'!P$7:P$518,'2217 Teachers Certs Clearing'!$B$7:$B$518,$B45,'2217 Teachers Certs Clearing'!$A$7:$A$518,$A45)+SUMIFS('Blank Template'!P$7:P$520,'Blank Template'!$B$7:$B$520,$B45,'Blank Template'!$A$7:$A$520,$A45)</f>
        <v>0</v>
      </c>
      <c r="Q45" s="58">
        <f>SUMIFS('9397 BOEE'!Q$7:Q$559,'9397 BOEE'!$B$7:$B$559,$B45,'9397 BOEE'!$A$7:$A$559,$A45)+SUMIFS('2217 Teachers Certs Clearing'!Q$7:Q$518,'2217 Teachers Certs Clearing'!$B$7:$B$518,$B45,'2217 Teachers Certs Clearing'!$A$7:$A$518,$A45)+SUMIFS('Blank Template'!Q$7:Q$520,'Blank Template'!$B$7:$B$520,$B45,'Blank Template'!$A$7:$A$520,$A45)</f>
        <v>0</v>
      </c>
      <c r="R45" s="58">
        <f>SUMIFS('9397 BOEE'!R$7:R$559,'9397 BOEE'!$B$7:$B$559,$B45,'9397 BOEE'!$A$7:$A$559,$A45)+SUMIFS('2217 Teachers Certs Clearing'!R$7:R$518,'2217 Teachers Certs Clearing'!$B$7:$B$518,$B45,'2217 Teachers Certs Clearing'!$A$7:$A$518,$A45)+SUMIFS('Blank Template'!R$7:R$520,'Blank Template'!$B$7:$B$520,$B45,'Blank Template'!$A$7:$A$520,$A45)</f>
        <v>0</v>
      </c>
      <c r="S45" s="58">
        <f>SUMIFS('9397 BOEE'!S$7:S$559,'9397 BOEE'!$B$7:$B$559,$B45,'9397 BOEE'!$A$7:$A$559,$A45)+SUMIFS('2217 Teachers Certs Clearing'!S$7:S$518,'2217 Teachers Certs Clearing'!$B$7:$B$518,$B45,'2217 Teachers Certs Clearing'!$A$7:$A$518,$A45)+SUMIFS('Blank Template'!S$7:S$520,'Blank Template'!$B$7:$B$520,$B45,'Blank Template'!$A$7:$A$520,$A45)</f>
        <v>0</v>
      </c>
      <c r="T45" s="58" t="e">
        <f t="shared" si="8"/>
        <v>#VALUE!</v>
      </c>
      <c r="U45" s="58">
        <f>SUMIFS('9397 BOEE'!U$7:U$559,'9397 BOEE'!$B$7:$B$559,$B45,'9397 BOEE'!$A$7:$A$559,$A45)+SUMIFS('2217 Teachers Certs Clearing'!U$7:U$518,'2217 Teachers Certs Clearing'!$B$7:$B$518,$B45,'2217 Teachers Certs Clearing'!$A$7:$A$518,$A45)+SUMIFS('Blank Template'!U$7:U$520,'Blank Template'!$B$7:$B$520,$B45,'Blank Template'!$A$7:$A$520,$A45)</f>
        <v>0</v>
      </c>
      <c r="V45" s="71">
        <f t="shared" si="9"/>
        <v>0</v>
      </c>
      <c r="W45" s="71">
        <f t="shared" si="10"/>
        <v>0</v>
      </c>
      <c r="Y45" s="5"/>
      <c r="Z45" s="5"/>
    </row>
    <row r="46" spans="1:26" s="1" customFormat="1" ht="18" customHeight="1" x14ac:dyDescent="0.2">
      <c r="A46" s="57" t="s">
        <v>148</v>
      </c>
      <c r="B46" s="193" t="s">
        <v>149</v>
      </c>
      <c r="C46" s="57"/>
      <c r="D46" s="58">
        <f>SUMIFS('9397 BOEE'!D$7:D$559,'9397 BOEE'!$B$7:$B$559,$B46,'9397 BOEE'!$A$7:$A$559,$A46)+SUMIFS('2217 Teachers Certs Clearing'!D$7:D$518,'2217 Teachers Certs Clearing'!$B$7:$B$518,$B46,'2217 Teachers Certs Clearing'!$A$7:$A$518,$A46)+SUMIFS('Blank Template'!D$7:D$520,'Blank Template'!$B$7:$B$520,$B46,'Blank Template'!$A$7:$A$520,$A46)</f>
        <v>0</v>
      </c>
      <c r="E46" s="58">
        <f>SUMIFS('9397 BOEE'!E$7:E$559,'9397 BOEE'!$B$7:$B$559,$B46,'9397 BOEE'!$A$7:$A$559,$A46)+SUMIFS('2217 Teachers Certs Clearing'!E$7:E$518,'2217 Teachers Certs Clearing'!$B$7:$B$518,$B46,'2217 Teachers Certs Clearing'!$A$7:$A$518,$A46)+SUMIFS('Blank Template'!E$7:E$520,'Blank Template'!$B$7:$B$520,$B46,'Blank Template'!$A$7:$A$520,$A46)</f>
        <v>0</v>
      </c>
      <c r="F46" s="58">
        <f>SUMIFS('9397 BOEE'!F$7:F$559,'9397 BOEE'!$B$7:$B$559,$B46,'9397 BOEE'!$A$7:$A$559,$A46)+SUMIFS('2217 Teachers Certs Clearing'!F$7:F$518,'2217 Teachers Certs Clearing'!$B$7:$B$518,$B46,'2217 Teachers Certs Clearing'!$A$7:$A$518,$A46)+SUMIFS('Blank Template'!F$7:F$520,'Blank Template'!$B$7:$B$520,$B46,'Blank Template'!$A$7:$A$520,$A46)</f>
        <v>229.45</v>
      </c>
      <c r="G46" s="58">
        <f>SUMIFS('9397 BOEE'!G$7:G$559,'9397 BOEE'!$B$7:$B$559,$B46,'9397 BOEE'!$A$7:$A$559,$A46)+SUMIFS('2217 Teachers Certs Clearing'!G$7:G$518,'2217 Teachers Certs Clearing'!$B$7:$B$518,$B46,'2217 Teachers Certs Clearing'!$A$7:$A$518,$A46)+SUMIFS('Blank Template'!G$7:G$520,'Blank Template'!$B$7:$B$520,$B46,'Blank Template'!$A$7:$A$520,$A46)</f>
        <v>66.430000000000007</v>
      </c>
      <c r="H46" s="58">
        <f>SUMIFS('9397 BOEE'!H$7:H$559,'9397 BOEE'!$B$7:$B$559,$B46,'9397 BOEE'!$A$7:$A$559,$A46)+SUMIFS('2217 Teachers Certs Clearing'!H$7:H$518,'2217 Teachers Certs Clearing'!$B$7:$B$518,$B46,'2217 Teachers Certs Clearing'!$A$7:$A$518,$A46)+SUMIFS('Blank Template'!H$7:H$520,'Blank Template'!$B$7:$B$520,$B46,'Blank Template'!$A$7:$A$520,$A46)</f>
        <v>0</v>
      </c>
      <c r="I46" s="58">
        <f>SUMIFS('9397 BOEE'!I$7:I$559,'9397 BOEE'!$B$7:$B$559,$B46,'9397 BOEE'!$A$7:$A$559,$A46)+SUMIFS('2217 Teachers Certs Clearing'!I$7:I$518,'2217 Teachers Certs Clearing'!$B$7:$B$518,$B46,'2217 Teachers Certs Clearing'!$A$7:$A$518,$A46)+SUMIFS('Blank Template'!I$7:I$520,'Blank Template'!$B$7:$B$520,$B46,'Blank Template'!$A$7:$A$520,$A46)</f>
        <v>0</v>
      </c>
      <c r="J46" s="58">
        <f>SUMIFS('9397 BOEE'!J$7:J$559,'9397 BOEE'!$B$7:$B$559,$B46,'9397 BOEE'!$A$7:$A$559,$A46)+SUMIFS('2217 Teachers Certs Clearing'!J$7:J$518,'2217 Teachers Certs Clearing'!$B$7:$B$518,$B46,'2217 Teachers Certs Clearing'!$A$7:$A$518,$A46)+SUMIFS('Blank Template'!J$7:J$520,'Blank Template'!$B$7:$B$520,$B46,'Blank Template'!$A$7:$A$520,$A46)</f>
        <v>21199</v>
      </c>
      <c r="K46" s="58">
        <f>SUMIFS('9397 BOEE'!K$7:K$559,'9397 BOEE'!$B$7:$B$559,$B46,'9397 BOEE'!$A$7:$A$559,$A46)+SUMIFS('2217 Teachers Certs Clearing'!K$7:K$518,'2217 Teachers Certs Clearing'!$B$7:$B$518,$B46,'2217 Teachers Certs Clearing'!$A$7:$A$518,$A46)+SUMIFS('Blank Template'!K$7:K$520,'Blank Template'!$B$7:$B$520,$B46,'Blank Template'!$A$7:$A$520,$A46)</f>
        <v>0</v>
      </c>
      <c r="L46" s="58">
        <f>SUMIFS('9397 BOEE'!L$7:L$559,'9397 BOEE'!$B$7:$B$559,$B46,'9397 BOEE'!$A$7:$A$559,$A46)+SUMIFS('2217 Teachers Certs Clearing'!L$7:L$518,'2217 Teachers Certs Clearing'!$B$7:$B$518,$B46,'2217 Teachers Certs Clearing'!$A$7:$A$518,$A46)+SUMIFS('Blank Template'!L$7:L$520,'Blank Template'!$B$7:$B$520,$B46,'Blank Template'!$A$7:$A$520,$A46)</f>
        <v>0</v>
      </c>
      <c r="M46" s="58" t="e">
        <f>SUMIFS('9397 BOEE'!M$7:M$560,'9397 BOEE'!$B$7:$B$559,$B46,'9397 BOEE'!$A$7:$A$559,$A46)+SUMIFS('2217 Teachers Certs Clearing'!M$7:M$518,'2217 Teachers Certs Clearing'!$B$7:$B$518,$B46,'2217 Teachers Certs Clearing'!$A$7:$A$518,$A46)+SUMIFS('Blank Template'!M$7:M$520,'Blank Template'!$B$7:$B$520,$B46,'Blank Template'!$A$7:$A$520,$A46)</f>
        <v>#VALUE!</v>
      </c>
      <c r="N46" s="58" t="e">
        <f>SUMIFS('9397 BOEE'!N$7:N$560,'9397 BOEE'!$B$7:$B$559,$B46,'9397 BOEE'!$A$7:$A$559,$A46)+SUMIFS('2217 Teachers Certs Clearing'!N$7:N$518,'2217 Teachers Certs Clearing'!$B$7:$B$518,$B46,'2217 Teachers Certs Clearing'!$A$7:$A$518,$A46)+SUMIFS('Blank Template'!N$7:N$520,'Blank Template'!$B$7:$B$520,$B46,'Blank Template'!$A$7:$A$520,$A46)</f>
        <v>#VALUE!</v>
      </c>
      <c r="O46" s="58" t="e">
        <f>SUMIFS('9397 BOEE'!O$7:O$560,'9397 BOEE'!$B$7:$B$559,$B46,'9397 BOEE'!$A$7:$A$559,$A46)+SUMIFS('2217 Teachers Certs Clearing'!O$7:O$518,'2217 Teachers Certs Clearing'!$B$7:$B$518,$B46,'2217 Teachers Certs Clearing'!$A$7:$A$518,$A46)+SUMIFS('Blank Template'!O$7:O$520,'Blank Template'!$B$7:$B$520,$B46,'Blank Template'!$A$7:$A$520,$A46)</f>
        <v>#VALUE!</v>
      </c>
      <c r="P46" s="58">
        <f>SUMIFS('9397 BOEE'!P$7:P$559,'9397 BOEE'!$B$7:$B$559,$B46,'9397 BOEE'!$A$7:$A$559,$A46)+SUMIFS('2217 Teachers Certs Clearing'!P$7:P$518,'2217 Teachers Certs Clearing'!$B$7:$B$518,$B46,'2217 Teachers Certs Clearing'!$A$7:$A$518,$A46)+SUMIFS('Blank Template'!P$7:P$520,'Blank Template'!$B$7:$B$520,$B46,'Blank Template'!$A$7:$A$520,$A46)</f>
        <v>0</v>
      </c>
      <c r="Q46" s="58">
        <f>SUMIFS('9397 BOEE'!Q$7:Q$559,'9397 BOEE'!$B$7:$B$559,$B46,'9397 BOEE'!$A$7:$A$559,$A46)+SUMIFS('2217 Teachers Certs Clearing'!Q$7:Q$518,'2217 Teachers Certs Clearing'!$B$7:$B$518,$B46,'2217 Teachers Certs Clearing'!$A$7:$A$518,$A46)+SUMIFS('Blank Template'!Q$7:Q$520,'Blank Template'!$B$7:$B$520,$B46,'Blank Template'!$A$7:$A$520,$A46)</f>
        <v>0</v>
      </c>
      <c r="R46" s="58">
        <f>SUMIFS('9397 BOEE'!R$7:R$559,'9397 BOEE'!$B$7:$B$559,$B46,'9397 BOEE'!$A$7:$A$559,$A46)+SUMIFS('2217 Teachers Certs Clearing'!R$7:R$518,'2217 Teachers Certs Clearing'!$B$7:$B$518,$B46,'2217 Teachers Certs Clearing'!$A$7:$A$518,$A46)+SUMIFS('Blank Template'!R$7:R$520,'Blank Template'!$B$7:$B$520,$B46,'Blank Template'!$A$7:$A$520,$A46)</f>
        <v>0</v>
      </c>
      <c r="S46" s="58">
        <f>SUMIFS('9397 BOEE'!S$7:S$559,'9397 BOEE'!$B$7:$B$559,$B46,'9397 BOEE'!$A$7:$A$559,$A46)+SUMIFS('2217 Teachers Certs Clearing'!S$7:S$518,'2217 Teachers Certs Clearing'!$B$7:$B$518,$B46,'2217 Teachers Certs Clearing'!$A$7:$A$518,$A46)+SUMIFS('Blank Template'!S$7:S$520,'Blank Template'!$B$7:$B$520,$B46,'Blank Template'!$A$7:$A$520,$A46)</f>
        <v>21494.880000000001</v>
      </c>
      <c r="T46" s="58" t="e">
        <f t="shared" si="8"/>
        <v>#VALUE!</v>
      </c>
      <c r="U46" s="58">
        <f>SUMIFS('9397 BOEE'!U$7:U$559,'9397 BOEE'!$B$7:$B$559,$B46,'9397 BOEE'!$A$7:$A$559,$A46)+SUMIFS('2217 Teachers Certs Clearing'!U$7:U$518,'2217 Teachers Certs Clearing'!$B$7:$B$518,$B46,'2217 Teachers Certs Clearing'!$A$7:$A$518,$A46)+SUMIFS('Blank Template'!U$7:U$520,'Blank Template'!$B$7:$B$520,$B46,'Blank Template'!$A$7:$A$520,$A46)</f>
        <v>32268</v>
      </c>
      <c r="V46" s="71">
        <f t="shared" ref="V46" si="23">IF(U46=0,0,SUMIF($D$6:$R$6,$X$2,D46:R46)/U46)</f>
        <v>0</v>
      </c>
      <c r="W46" s="71" t="e">
        <f t="shared" ref="W46" si="24">IF(U46=0,0,T46/U46)</f>
        <v>#VALUE!</v>
      </c>
      <c r="Y46" s="5"/>
      <c r="Z46" s="5"/>
    </row>
    <row r="47" spans="1:26" s="1" customFormat="1" ht="18" customHeight="1" x14ac:dyDescent="0.2">
      <c r="A47" s="57" t="s">
        <v>79</v>
      </c>
      <c r="B47" s="57" t="s">
        <v>80</v>
      </c>
      <c r="C47" s="57"/>
      <c r="D47" s="58">
        <f>SUMIFS('9397 BOEE'!D$7:D$559,'9397 BOEE'!$B$7:$B$559,$B47,'9397 BOEE'!$A$7:$A$559,$A47)+SUMIFS('2217 Teachers Certs Clearing'!D$7:D$518,'2217 Teachers Certs Clearing'!$B$7:$B$518,$B47,'2217 Teachers Certs Clearing'!$A$7:$A$518,$A47)+SUMIFS('Blank Template'!D$7:D$520,'Blank Template'!$B$7:$B$520,$B47,'Blank Template'!$A$7:$A$520,$A47)</f>
        <v>0</v>
      </c>
      <c r="E47" s="58">
        <f>SUMIFS('9397 BOEE'!E$7:E$559,'9397 BOEE'!$B$7:$B$559,$B47,'9397 BOEE'!$A$7:$A$559,$A47)+SUMIFS('2217 Teachers Certs Clearing'!E$7:E$518,'2217 Teachers Certs Clearing'!$B$7:$B$518,$B47,'2217 Teachers Certs Clearing'!$A$7:$A$518,$A47)+SUMIFS('Blank Template'!E$7:E$520,'Blank Template'!$B$7:$B$520,$B47,'Blank Template'!$A$7:$A$520,$A47)</f>
        <v>0</v>
      </c>
      <c r="F47" s="58">
        <f>SUMIFS('9397 BOEE'!F$7:F$559,'9397 BOEE'!$B$7:$B$559,$B47,'9397 BOEE'!$A$7:$A$559,$A47)+SUMIFS('2217 Teachers Certs Clearing'!F$7:F$518,'2217 Teachers Certs Clearing'!$B$7:$B$518,$B47,'2217 Teachers Certs Clearing'!$A$7:$A$518,$A47)+SUMIFS('Blank Template'!F$7:F$520,'Blank Template'!$B$7:$B$520,$B47,'Blank Template'!$A$7:$A$520,$A47)</f>
        <v>3788.45</v>
      </c>
      <c r="G47" s="58">
        <f>SUMIFS('9397 BOEE'!G$7:G$559,'9397 BOEE'!$B$7:$B$559,$B47,'9397 BOEE'!$A$7:$A$559,$A47)+SUMIFS('2217 Teachers Certs Clearing'!G$7:G$518,'2217 Teachers Certs Clearing'!$B$7:$B$518,$B47,'2217 Teachers Certs Clearing'!$A$7:$A$518,$A47)+SUMIFS('Blank Template'!G$7:G$520,'Blank Template'!$B$7:$B$520,$B47,'Blank Template'!$A$7:$A$520,$A47)</f>
        <v>4859.43</v>
      </c>
      <c r="H47" s="58">
        <f>SUMIFS('9397 BOEE'!H$7:H$559,'9397 BOEE'!$B$7:$B$559,$B47,'9397 BOEE'!$A$7:$A$559,$A47)+SUMIFS('2217 Teachers Certs Clearing'!H$7:H$518,'2217 Teachers Certs Clearing'!$B$7:$B$518,$B47,'2217 Teachers Certs Clearing'!$A$7:$A$518,$A47)+SUMIFS('Blank Template'!H$7:H$520,'Blank Template'!$B$7:$B$520,$B47,'Blank Template'!$A$7:$A$520,$A47)</f>
        <v>2679.71</v>
      </c>
      <c r="I47" s="58">
        <f>SUMIFS('9397 BOEE'!I$7:I$559,'9397 BOEE'!$B$7:$B$559,$B47,'9397 BOEE'!$A$7:$A$559,$A47)+SUMIFS('2217 Teachers Certs Clearing'!I$7:I$518,'2217 Teachers Certs Clearing'!$B$7:$B$518,$B47,'2217 Teachers Certs Clearing'!$A$7:$A$518,$A47)+SUMIFS('Blank Template'!I$7:I$520,'Blank Template'!$B$7:$B$520,$B47,'Blank Template'!$A$7:$A$520,$A47)</f>
        <v>2952.25</v>
      </c>
      <c r="J47" s="58">
        <f>SUMIFS('9397 BOEE'!J$7:J$559,'9397 BOEE'!$B$7:$B$559,$B47,'9397 BOEE'!$A$7:$A$559,$A47)+SUMIFS('2217 Teachers Certs Clearing'!J$7:J$518,'2217 Teachers Certs Clearing'!$B$7:$B$518,$B47,'2217 Teachers Certs Clearing'!$A$7:$A$518,$A47)+SUMIFS('Blank Template'!J$7:J$520,'Blank Template'!$B$7:$B$520,$B47,'Blank Template'!$A$7:$A$520,$A47)</f>
        <v>2564.6999999999998</v>
      </c>
      <c r="K47" s="58">
        <f>SUMIFS('9397 BOEE'!K$7:K$559,'9397 BOEE'!$B$7:$B$559,$B47,'9397 BOEE'!$A$7:$A$559,$A47)+SUMIFS('2217 Teachers Certs Clearing'!K$7:K$518,'2217 Teachers Certs Clearing'!$B$7:$B$518,$B47,'2217 Teachers Certs Clearing'!$A$7:$A$518,$A47)+SUMIFS('Blank Template'!K$7:K$520,'Blank Template'!$B$7:$B$520,$B47,'Blank Template'!$A$7:$A$520,$A47)</f>
        <v>2228.79</v>
      </c>
      <c r="L47" s="58">
        <f>SUMIFS('9397 BOEE'!L$7:L$559,'9397 BOEE'!$B$7:$B$559,$B47,'9397 BOEE'!$A$7:$A$559,$A47)+SUMIFS('2217 Teachers Certs Clearing'!L$7:L$518,'2217 Teachers Certs Clearing'!$B$7:$B$518,$B47,'2217 Teachers Certs Clearing'!$A$7:$A$518,$A47)+SUMIFS('Blank Template'!L$7:L$520,'Blank Template'!$B$7:$B$520,$B47,'Blank Template'!$A$7:$A$520,$A47)</f>
        <v>0</v>
      </c>
      <c r="M47" s="58" t="e">
        <f>SUMIFS('9397 BOEE'!M$7:M$560,'9397 BOEE'!$B$7:$B$559,$B47,'9397 BOEE'!$A$7:$A$559,$A47)+SUMIFS('2217 Teachers Certs Clearing'!M$7:M$518,'2217 Teachers Certs Clearing'!$B$7:$B$518,$B47,'2217 Teachers Certs Clearing'!$A$7:$A$518,$A47)+SUMIFS('Blank Template'!M$7:M$520,'Blank Template'!$B$7:$B$520,$B47,'Blank Template'!$A$7:$A$520,$A47)</f>
        <v>#VALUE!</v>
      </c>
      <c r="N47" s="58" t="e">
        <f>SUMIFS('9397 BOEE'!N$7:N$560,'9397 BOEE'!$B$7:$B$559,$B47,'9397 BOEE'!$A$7:$A$559,$A47)+SUMIFS('2217 Teachers Certs Clearing'!N$7:N$518,'2217 Teachers Certs Clearing'!$B$7:$B$518,$B47,'2217 Teachers Certs Clearing'!$A$7:$A$518,$A47)+SUMIFS('Blank Template'!N$7:N$520,'Blank Template'!$B$7:$B$520,$B47,'Blank Template'!$A$7:$A$520,$A47)</f>
        <v>#VALUE!</v>
      </c>
      <c r="O47" s="58" t="e">
        <f>SUMIFS('9397 BOEE'!O$7:O$560,'9397 BOEE'!$B$7:$B$559,$B47,'9397 BOEE'!$A$7:$A$559,$A47)+SUMIFS('2217 Teachers Certs Clearing'!O$7:O$518,'2217 Teachers Certs Clearing'!$B$7:$B$518,$B47,'2217 Teachers Certs Clearing'!$A$7:$A$518,$A47)+SUMIFS('Blank Template'!O$7:O$520,'Blank Template'!$B$7:$B$520,$B47,'Blank Template'!$A$7:$A$520,$A47)</f>
        <v>#VALUE!</v>
      </c>
      <c r="P47" s="58">
        <f>SUMIFS('9397 BOEE'!P$7:P$559,'9397 BOEE'!$B$7:$B$559,$B47,'9397 BOEE'!$A$7:$A$559,$A47)+SUMIFS('2217 Teachers Certs Clearing'!P$7:P$518,'2217 Teachers Certs Clearing'!$B$7:$B$518,$B47,'2217 Teachers Certs Clearing'!$A$7:$A$518,$A47)+SUMIFS('Blank Template'!P$7:P$520,'Blank Template'!$B$7:$B$520,$B47,'Blank Template'!$A$7:$A$520,$A47)</f>
        <v>0</v>
      </c>
      <c r="Q47" s="58">
        <f>SUMIFS('9397 BOEE'!Q$7:Q$559,'9397 BOEE'!$B$7:$B$559,$B47,'9397 BOEE'!$A$7:$A$559,$A47)+SUMIFS('2217 Teachers Certs Clearing'!Q$7:Q$518,'2217 Teachers Certs Clearing'!$B$7:$B$518,$B47,'2217 Teachers Certs Clearing'!$A$7:$A$518,$A47)+SUMIFS('Blank Template'!Q$7:Q$520,'Blank Template'!$B$7:$B$520,$B47,'Blank Template'!$A$7:$A$520,$A47)</f>
        <v>0</v>
      </c>
      <c r="R47" s="58">
        <f>SUMIFS('9397 BOEE'!R$7:R$559,'9397 BOEE'!$B$7:$B$559,$B47,'9397 BOEE'!$A$7:$A$559,$A47)+SUMIFS('2217 Teachers Certs Clearing'!R$7:R$518,'2217 Teachers Certs Clearing'!$B$7:$B$518,$B47,'2217 Teachers Certs Clearing'!$A$7:$A$518,$A47)+SUMIFS('Blank Template'!R$7:R$520,'Blank Template'!$B$7:$B$520,$B47,'Blank Template'!$A$7:$A$520,$A47)</f>
        <v>0</v>
      </c>
      <c r="S47" s="58">
        <f>SUMIFS('9397 BOEE'!S$7:S$559,'9397 BOEE'!$B$7:$B$559,$B47,'9397 BOEE'!$A$7:$A$559,$A47)+SUMIFS('2217 Teachers Certs Clearing'!S$7:S$518,'2217 Teachers Certs Clearing'!$B$7:$B$518,$B47,'2217 Teachers Certs Clearing'!$A$7:$A$518,$A47)+SUMIFS('Blank Template'!S$7:S$520,'Blank Template'!$B$7:$B$520,$B47,'Blank Template'!$A$7:$A$520,$A47)</f>
        <v>19073.330000000002</v>
      </c>
      <c r="T47" s="58" t="e">
        <f t="shared" si="8"/>
        <v>#VALUE!</v>
      </c>
      <c r="U47" s="58">
        <f>SUMIFS('9397 BOEE'!U$7:U$559,'9397 BOEE'!$B$7:$B$559,$B47,'9397 BOEE'!$A$7:$A$559,$A47)+SUMIFS('2217 Teachers Certs Clearing'!U$7:U$518,'2217 Teachers Certs Clearing'!$B$7:$B$518,$B47,'2217 Teachers Certs Clearing'!$A$7:$A$518,$A47)+SUMIFS('Blank Template'!U$7:U$520,'Blank Template'!$B$7:$B$520,$B47,'Blank Template'!$A$7:$A$520,$A47)</f>
        <v>42000</v>
      </c>
      <c r="V47" s="71">
        <f t="shared" si="9"/>
        <v>0</v>
      </c>
      <c r="W47" s="71" t="e">
        <f t="shared" si="10"/>
        <v>#VALUE!</v>
      </c>
      <c r="Y47" s="5"/>
      <c r="Z47" s="5"/>
    </row>
    <row r="48" spans="1:26" s="1" customFormat="1" ht="18" customHeight="1" x14ac:dyDescent="0.2">
      <c r="A48" s="57" t="s">
        <v>112</v>
      </c>
      <c r="B48" s="57" t="s">
        <v>113</v>
      </c>
      <c r="C48" s="57"/>
      <c r="D48" s="58">
        <f>SUMIFS('9397 BOEE'!D$7:D$559,'9397 BOEE'!$B$7:$B$559,$B48,'9397 BOEE'!$A$7:$A$559,$A48)+SUMIFS('2217 Teachers Certs Clearing'!D$7:D$518,'2217 Teachers Certs Clearing'!$B$7:$B$518,$B48,'2217 Teachers Certs Clearing'!$A$7:$A$518,$A48)+SUMIFS('Blank Template'!D$7:D$520,'Blank Template'!$B$7:$B$520,$B48,'Blank Template'!$A$7:$A$520,$A48)</f>
        <v>0</v>
      </c>
      <c r="E48" s="58">
        <f>SUMIFS('9397 BOEE'!E$7:E$559,'9397 BOEE'!$B$7:$B$559,$B48,'9397 BOEE'!$A$7:$A$559,$A48)+SUMIFS('2217 Teachers Certs Clearing'!E$7:E$518,'2217 Teachers Certs Clearing'!$B$7:$B$518,$B48,'2217 Teachers Certs Clearing'!$A$7:$A$518,$A48)+SUMIFS('Blank Template'!E$7:E$520,'Blank Template'!$B$7:$B$520,$B48,'Blank Template'!$A$7:$A$520,$A48)</f>
        <v>0</v>
      </c>
      <c r="F48" s="58">
        <f>SUMIFS('9397 BOEE'!F$7:F$559,'9397 BOEE'!$B$7:$B$559,$B48,'9397 BOEE'!$A$7:$A$559,$A48)+SUMIFS('2217 Teachers Certs Clearing'!F$7:F$518,'2217 Teachers Certs Clearing'!$B$7:$B$518,$B48,'2217 Teachers Certs Clearing'!$A$7:$A$518,$A48)+SUMIFS('Blank Template'!F$7:F$520,'Blank Template'!$B$7:$B$520,$B48,'Blank Template'!$A$7:$A$520,$A48)</f>
        <v>0</v>
      </c>
      <c r="G48" s="58">
        <f>SUMIFS('9397 BOEE'!G$7:G$559,'9397 BOEE'!$B$7:$B$559,$B48,'9397 BOEE'!$A$7:$A$559,$A48)+SUMIFS('2217 Teachers Certs Clearing'!G$7:G$518,'2217 Teachers Certs Clearing'!$B$7:$B$518,$B48,'2217 Teachers Certs Clearing'!$A$7:$A$518,$A48)+SUMIFS('Blank Template'!G$7:G$520,'Blank Template'!$B$7:$B$520,$B48,'Blank Template'!$A$7:$A$520,$A48)</f>
        <v>0</v>
      </c>
      <c r="H48" s="58">
        <f>SUMIFS('9397 BOEE'!H$7:H$559,'9397 BOEE'!$B$7:$B$559,$B48,'9397 BOEE'!$A$7:$A$559,$A48)+SUMIFS('2217 Teachers Certs Clearing'!H$7:H$518,'2217 Teachers Certs Clearing'!$B$7:$B$518,$B48,'2217 Teachers Certs Clearing'!$A$7:$A$518,$A48)+SUMIFS('Blank Template'!H$7:H$520,'Blank Template'!$B$7:$B$520,$B48,'Blank Template'!$A$7:$A$520,$A48)</f>
        <v>0</v>
      </c>
      <c r="I48" s="58">
        <f>SUMIFS('9397 BOEE'!I$7:I$559,'9397 BOEE'!$B$7:$B$559,$B48,'9397 BOEE'!$A$7:$A$559,$A48)+SUMIFS('2217 Teachers Certs Clearing'!I$7:I$518,'2217 Teachers Certs Clearing'!$B$7:$B$518,$B48,'2217 Teachers Certs Clearing'!$A$7:$A$518,$A48)+SUMIFS('Blank Template'!I$7:I$520,'Blank Template'!$B$7:$B$520,$B48,'Blank Template'!$A$7:$A$520,$A48)</f>
        <v>0</v>
      </c>
      <c r="J48" s="58">
        <f>SUMIFS('9397 BOEE'!J$7:J$559,'9397 BOEE'!$B$7:$B$559,$B48,'9397 BOEE'!$A$7:$A$559,$A48)+SUMIFS('2217 Teachers Certs Clearing'!J$7:J$518,'2217 Teachers Certs Clearing'!$B$7:$B$518,$B48,'2217 Teachers Certs Clearing'!$A$7:$A$518,$A48)+SUMIFS('Blank Template'!J$7:J$520,'Blank Template'!$B$7:$B$520,$B48,'Blank Template'!$A$7:$A$520,$A48)</f>
        <v>0</v>
      </c>
      <c r="K48" s="58">
        <f>SUMIFS('9397 BOEE'!K$7:K$559,'9397 BOEE'!$B$7:$B$559,$B48,'9397 BOEE'!$A$7:$A$559,$A48)+SUMIFS('2217 Teachers Certs Clearing'!K$7:K$518,'2217 Teachers Certs Clearing'!$B$7:$B$518,$B48,'2217 Teachers Certs Clearing'!$A$7:$A$518,$A48)+SUMIFS('Blank Template'!K$7:K$520,'Blank Template'!$B$7:$B$520,$B48,'Blank Template'!$A$7:$A$520,$A48)</f>
        <v>0</v>
      </c>
      <c r="L48" s="58">
        <f>SUMIFS('9397 BOEE'!L$7:L$559,'9397 BOEE'!$B$7:$B$559,$B48,'9397 BOEE'!$A$7:$A$559,$A48)+SUMIFS('2217 Teachers Certs Clearing'!L$7:L$518,'2217 Teachers Certs Clearing'!$B$7:$B$518,$B48,'2217 Teachers Certs Clearing'!$A$7:$A$518,$A48)+SUMIFS('Blank Template'!L$7:L$520,'Blank Template'!$B$7:$B$520,$B48,'Blank Template'!$A$7:$A$520,$A48)</f>
        <v>0</v>
      </c>
      <c r="M48" s="58" t="e">
        <f>SUMIFS('9397 BOEE'!M$7:M$560,'9397 BOEE'!$B$7:$B$559,$B48,'9397 BOEE'!$A$7:$A$559,$A48)+SUMIFS('2217 Teachers Certs Clearing'!M$7:M$518,'2217 Teachers Certs Clearing'!$B$7:$B$518,$B48,'2217 Teachers Certs Clearing'!$A$7:$A$518,$A48)+SUMIFS('Blank Template'!M$7:M$520,'Blank Template'!$B$7:$B$520,$B48,'Blank Template'!$A$7:$A$520,$A48)</f>
        <v>#VALUE!</v>
      </c>
      <c r="N48" s="58" t="e">
        <f>SUMIFS('9397 BOEE'!N$7:N$560,'9397 BOEE'!$B$7:$B$559,$B48,'9397 BOEE'!$A$7:$A$559,$A48)+SUMIFS('2217 Teachers Certs Clearing'!N$7:N$518,'2217 Teachers Certs Clearing'!$B$7:$B$518,$B48,'2217 Teachers Certs Clearing'!$A$7:$A$518,$A48)+SUMIFS('Blank Template'!N$7:N$520,'Blank Template'!$B$7:$B$520,$B48,'Blank Template'!$A$7:$A$520,$A48)</f>
        <v>#VALUE!</v>
      </c>
      <c r="O48" s="58" t="e">
        <f>SUMIFS('9397 BOEE'!O$7:O$560,'9397 BOEE'!$B$7:$B$559,$B48,'9397 BOEE'!$A$7:$A$559,$A48)+SUMIFS('2217 Teachers Certs Clearing'!O$7:O$518,'2217 Teachers Certs Clearing'!$B$7:$B$518,$B48,'2217 Teachers Certs Clearing'!$A$7:$A$518,$A48)+SUMIFS('Blank Template'!O$7:O$520,'Blank Template'!$B$7:$B$520,$B48,'Blank Template'!$A$7:$A$520,$A48)</f>
        <v>#VALUE!</v>
      </c>
      <c r="P48" s="58">
        <f>SUMIFS('9397 BOEE'!P$7:P$559,'9397 BOEE'!$B$7:$B$559,$B48,'9397 BOEE'!$A$7:$A$559,$A48)+SUMIFS('2217 Teachers Certs Clearing'!P$7:P$518,'2217 Teachers Certs Clearing'!$B$7:$B$518,$B48,'2217 Teachers Certs Clearing'!$A$7:$A$518,$A48)+SUMIFS('Blank Template'!P$7:P$520,'Blank Template'!$B$7:$B$520,$B48,'Blank Template'!$A$7:$A$520,$A48)</f>
        <v>0</v>
      </c>
      <c r="Q48" s="58">
        <f>SUMIFS('9397 BOEE'!Q$7:Q$559,'9397 BOEE'!$B$7:$B$559,$B48,'9397 BOEE'!$A$7:$A$559,$A48)+SUMIFS('2217 Teachers Certs Clearing'!Q$7:Q$518,'2217 Teachers Certs Clearing'!$B$7:$B$518,$B48,'2217 Teachers Certs Clearing'!$A$7:$A$518,$A48)+SUMIFS('Blank Template'!Q$7:Q$520,'Blank Template'!$B$7:$B$520,$B48,'Blank Template'!$A$7:$A$520,$A48)</f>
        <v>0</v>
      </c>
      <c r="R48" s="58">
        <f>SUMIFS('9397 BOEE'!R$7:R$559,'9397 BOEE'!$B$7:$B$559,$B48,'9397 BOEE'!$A$7:$A$559,$A48)+SUMIFS('2217 Teachers Certs Clearing'!R$7:R$518,'2217 Teachers Certs Clearing'!$B$7:$B$518,$B48,'2217 Teachers Certs Clearing'!$A$7:$A$518,$A48)+SUMIFS('Blank Template'!R$7:R$520,'Blank Template'!$B$7:$B$520,$B48,'Blank Template'!$A$7:$A$520,$A48)</f>
        <v>0</v>
      </c>
      <c r="S48" s="58">
        <f>SUMIFS('9397 BOEE'!S$7:S$559,'9397 BOEE'!$B$7:$B$559,$B48,'9397 BOEE'!$A$7:$A$559,$A48)+SUMIFS('2217 Teachers Certs Clearing'!S$7:S$518,'2217 Teachers Certs Clearing'!$B$7:$B$518,$B48,'2217 Teachers Certs Clearing'!$A$7:$A$518,$A48)+SUMIFS('Blank Template'!S$7:S$520,'Blank Template'!$B$7:$B$520,$B48,'Blank Template'!$A$7:$A$520,$A48)</f>
        <v>0</v>
      </c>
      <c r="T48" s="58" t="e">
        <f t="shared" si="8"/>
        <v>#VALUE!</v>
      </c>
      <c r="U48" s="58">
        <f>SUMIFS('9397 BOEE'!U$7:U$559,'9397 BOEE'!$B$7:$B$559,$B48,'9397 BOEE'!$A$7:$A$559,$A48)+SUMIFS('2217 Teachers Certs Clearing'!U$7:U$518,'2217 Teachers Certs Clearing'!$B$7:$B$518,$B48,'2217 Teachers Certs Clearing'!$A$7:$A$518,$A48)+SUMIFS('Blank Template'!U$7:U$520,'Blank Template'!$B$7:$B$520,$B48,'Blank Template'!$A$7:$A$520,$A48)</f>
        <v>6000</v>
      </c>
      <c r="V48" s="71">
        <f t="shared" si="9"/>
        <v>0</v>
      </c>
      <c r="W48" s="71" t="e">
        <f t="shared" si="10"/>
        <v>#VALUE!</v>
      </c>
      <c r="Y48" s="5"/>
      <c r="Z48" s="5"/>
    </row>
    <row r="49" spans="1:26" s="1" customFormat="1" ht="18" customHeight="1" x14ac:dyDescent="0.2">
      <c r="A49" s="57"/>
      <c r="B49" s="57"/>
      <c r="C49" s="5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71"/>
      <c r="W49" s="71"/>
      <c r="Y49" s="5"/>
      <c r="Z49" s="5"/>
    </row>
    <row r="50" spans="1:26" s="1" customFormat="1" ht="18" customHeight="1" x14ac:dyDescent="0.25">
      <c r="A50" s="90" t="s">
        <v>81</v>
      </c>
      <c r="B50" s="90"/>
      <c r="C50" s="90"/>
      <c r="D50" s="101">
        <f>SUM(D18:D49)</f>
        <v>90180.96</v>
      </c>
      <c r="E50" s="101">
        <f t="shared" ref="E50:U50" si="25">SUM(E18:E49)</f>
        <v>146983.44</v>
      </c>
      <c r="F50" s="101">
        <f t="shared" si="25"/>
        <v>345356.48000000004</v>
      </c>
      <c r="G50" s="101">
        <f t="shared" si="25"/>
        <v>262451.27</v>
      </c>
      <c r="H50" s="101">
        <f t="shared" si="25"/>
        <v>159783.01999999999</v>
      </c>
      <c r="I50" s="101">
        <f t="shared" si="25"/>
        <v>159886.46000000002</v>
      </c>
      <c r="J50" s="101">
        <f t="shared" si="25"/>
        <v>208762.75999999998</v>
      </c>
      <c r="K50" s="101">
        <f t="shared" si="25"/>
        <v>187496.35000000003</v>
      </c>
      <c r="L50" s="101">
        <f t="shared" si="25"/>
        <v>152376</v>
      </c>
      <c r="M50" s="101" t="e">
        <f t="shared" si="25"/>
        <v>#VALUE!</v>
      </c>
      <c r="N50" s="101" t="e">
        <f t="shared" si="25"/>
        <v>#VALUE!</v>
      </c>
      <c r="O50" s="101" t="e">
        <f t="shared" si="25"/>
        <v>#VALUE!</v>
      </c>
      <c r="P50" s="101">
        <f t="shared" si="25"/>
        <v>77367</v>
      </c>
      <c r="Q50" s="101">
        <f t="shared" si="25"/>
        <v>0</v>
      </c>
      <c r="R50" s="101">
        <f t="shared" si="25"/>
        <v>0</v>
      </c>
      <c r="S50" s="101">
        <f t="shared" si="25"/>
        <v>1560900.7399999995</v>
      </c>
      <c r="T50" s="101" t="e">
        <f t="shared" si="25"/>
        <v>#VALUE!</v>
      </c>
      <c r="U50" s="101">
        <f t="shared" si="25"/>
        <v>2781110.7800000003</v>
      </c>
      <c r="V50" s="92">
        <f>SUMIF($D$6:$R$6,$X$2,D50:R50)/U50</f>
        <v>3.2426237979632011E-2</v>
      </c>
      <c r="W50" s="92" t="e">
        <f>T50/U50</f>
        <v>#VALUE!</v>
      </c>
    </row>
    <row r="51" spans="1:26" s="1" customFormat="1" ht="18" customHeight="1" x14ac:dyDescent="0.2">
      <c r="A51" s="93"/>
      <c r="B51" s="93"/>
      <c r="C51" s="9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8"/>
      <c r="U51" s="18"/>
      <c r="V51" s="94"/>
      <c r="W51" s="94"/>
    </row>
    <row r="52" spans="1:26" s="1" customFormat="1" ht="18" customHeight="1" x14ac:dyDescent="0.2">
      <c r="A52" s="90" t="s">
        <v>82</v>
      </c>
      <c r="B52" s="90"/>
      <c r="C52" s="90"/>
      <c r="D52" s="101">
        <f t="shared" ref="D52:R52" si="26">D17-D50</f>
        <v>133835.78999999998</v>
      </c>
      <c r="E52" s="101">
        <f t="shared" si="26"/>
        <v>117058.31</v>
      </c>
      <c r="F52" s="101">
        <f t="shared" si="26"/>
        <v>-184436.73000000004</v>
      </c>
      <c r="G52" s="101">
        <f t="shared" si="26"/>
        <v>-91943.770000000019</v>
      </c>
      <c r="H52" s="101">
        <f t="shared" si="26"/>
        <v>-26966.26999999999</v>
      </c>
      <c r="I52" s="101">
        <f t="shared" si="26"/>
        <v>-18543.710000000021</v>
      </c>
      <c r="J52" s="101">
        <f t="shared" si="26"/>
        <v>-933.00999999998021</v>
      </c>
      <c r="K52" s="101">
        <f t="shared" si="26"/>
        <v>-18806.100000000035</v>
      </c>
      <c r="L52" s="101">
        <f t="shared" si="26"/>
        <v>3624</v>
      </c>
      <c r="M52" s="101" t="e">
        <f t="shared" si="26"/>
        <v>#VALUE!</v>
      </c>
      <c r="N52" s="101" t="e">
        <f t="shared" si="26"/>
        <v>#VALUE!</v>
      </c>
      <c r="O52" s="101" t="e">
        <f t="shared" si="26"/>
        <v>#VALUE!</v>
      </c>
      <c r="P52" s="101">
        <f t="shared" si="26"/>
        <v>-77367</v>
      </c>
      <c r="Q52" s="101">
        <f t="shared" si="26"/>
        <v>0</v>
      </c>
      <c r="R52" s="101">
        <f t="shared" si="26"/>
        <v>0</v>
      </c>
      <c r="S52" s="101"/>
      <c r="T52" s="101"/>
      <c r="U52" s="91" t="s">
        <v>10</v>
      </c>
      <c r="V52" s="96"/>
      <c r="W52" s="96"/>
    </row>
    <row r="53" spans="1:26" s="1" customFormat="1" ht="18" customHeight="1" x14ac:dyDescent="0.2">
      <c r="A53" s="90" t="s">
        <v>83</v>
      </c>
      <c r="B53" s="90"/>
      <c r="C53" s="90"/>
      <c r="D53" s="130">
        <f>+D8+D9+D52</f>
        <v>233835.78999999998</v>
      </c>
      <c r="E53" s="131">
        <f>D53+E52</f>
        <v>350894.1</v>
      </c>
      <c r="F53" s="130">
        <f t="shared" ref="F53:J53" si="27">E53+F52</f>
        <v>166457.36999999994</v>
      </c>
      <c r="G53" s="130">
        <f t="shared" si="27"/>
        <v>74513.599999999919</v>
      </c>
      <c r="H53" s="130">
        <f t="shared" si="27"/>
        <v>47547.329999999929</v>
      </c>
      <c r="I53" s="130">
        <f t="shared" si="27"/>
        <v>29003.619999999908</v>
      </c>
      <c r="J53" s="130">
        <f t="shared" si="27"/>
        <v>28070.609999999928</v>
      </c>
      <c r="K53" s="130">
        <f t="shared" ref="K53" si="28">J53+K52</f>
        <v>9264.5099999998929</v>
      </c>
      <c r="L53" s="130">
        <f t="shared" ref="L53" si="29">K53+L52</f>
        <v>12888.509999999893</v>
      </c>
      <c r="M53" s="130" t="e">
        <f t="shared" ref="M53" si="30">L53+M52</f>
        <v>#VALUE!</v>
      </c>
      <c r="N53" s="130" t="e">
        <f t="shared" ref="N53" si="31">M53+N52</f>
        <v>#VALUE!</v>
      </c>
      <c r="O53" s="130" t="e">
        <f t="shared" ref="O53" si="32">N53+O52</f>
        <v>#VALUE!</v>
      </c>
      <c r="P53" s="130" t="e">
        <f t="shared" ref="P53" si="33">O53+P52</f>
        <v>#VALUE!</v>
      </c>
      <c r="Q53" s="130" t="e">
        <f t="shared" ref="Q53" si="34">P53+Q52</f>
        <v>#VALUE!</v>
      </c>
      <c r="R53" s="130" t="e">
        <f t="shared" ref="R53" si="35">Q53+R52</f>
        <v>#VALUE!</v>
      </c>
      <c r="S53" s="95"/>
      <c r="T53" s="95"/>
      <c r="U53" s="95" t="s">
        <v>10</v>
      </c>
      <c r="V53" s="96" t="s">
        <v>10</v>
      </c>
      <c r="W53" s="96" t="s">
        <v>10</v>
      </c>
      <c r="X53" s="22"/>
    </row>
    <row r="54" spans="1:26" s="1" customFormat="1" ht="15.7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97"/>
      <c r="S54" s="98"/>
      <c r="T54" s="98"/>
      <c r="U54" s="61"/>
      <c r="V54" s="61"/>
      <c r="W54" s="61"/>
      <c r="X54" s="7"/>
    </row>
    <row r="55" spans="1:26" ht="15.75" x14ac:dyDescent="0.2">
      <c r="A55" s="34"/>
      <c r="B55" s="34"/>
      <c r="C55" s="34"/>
      <c r="D55" s="103"/>
      <c r="E55" s="101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87"/>
      <c r="U55" s="87"/>
      <c r="V55" s="87"/>
      <c r="W55" s="87"/>
    </row>
    <row r="56" spans="1:26" ht="15.75" x14ac:dyDescent="0.25">
      <c r="A56" s="45"/>
      <c r="B56" s="34"/>
      <c r="C56" s="34"/>
      <c r="D56" s="103"/>
      <c r="E56" s="101"/>
      <c r="F56" s="34"/>
      <c r="G56" s="34"/>
      <c r="H56" s="34"/>
      <c r="I56" s="34"/>
      <c r="J56" s="34"/>
      <c r="K56" s="34"/>
      <c r="L56" s="103"/>
      <c r="M56" s="103"/>
      <c r="N56" s="103"/>
      <c r="O56" s="34"/>
      <c r="P56" s="34"/>
      <c r="Q56" s="34"/>
      <c r="R56" s="34"/>
      <c r="S56" s="34"/>
      <c r="T56" s="87"/>
      <c r="U56" s="87"/>
      <c r="V56" s="87"/>
      <c r="W56" s="87"/>
    </row>
    <row r="57" spans="1:26" ht="15.75" x14ac:dyDescent="0.25">
      <c r="A57" s="45"/>
      <c r="B57" s="34"/>
      <c r="C57" s="34"/>
      <c r="D57" s="103"/>
      <c r="E57" s="101"/>
      <c r="F57" s="34"/>
      <c r="G57" s="34"/>
      <c r="H57" s="34"/>
      <c r="I57" s="34"/>
      <c r="J57" s="34"/>
      <c r="K57" s="34"/>
      <c r="L57" s="103"/>
      <c r="M57" s="103"/>
      <c r="N57" s="103"/>
      <c r="O57" s="34"/>
      <c r="P57" s="34"/>
      <c r="Q57" s="34"/>
      <c r="R57" s="34"/>
      <c r="S57" s="34"/>
      <c r="T57" s="87"/>
      <c r="U57" s="87"/>
      <c r="V57" s="87"/>
      <c r="W57" s="87"/>
    </row>
    <row r="58" spans="1:26" ht="15.75" x14ac:dyDescent="0.2">
      <c r="A58" s="34"/>
      <c r="B58" s="34"/>
      <c r="C58" s="34"/>
      <c r="D58" s="103"/>
      <c r="E58" s="101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87"/>
      <c r="U58" s="87"/>
      <c r="V58" s="87"/>
      <c r="W58" s="87"/>
    </row>
    <row r="59" spans="1:26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87"/>
      <c r="U59" s="87"/>
      <c r="V59" s="87"/>
      <c r="W59" s="87"/>
    </row>
    <row r="60" spans="1:26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87"/>
      <c r="U60" s="87"/>
      <c r="V60" s="87"/>
      <c r="W60" s="87"/>
    </row>
    <row r="61" spans="1:26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87"/>
      <c r="U61" s="87"/>
      <c r="V61" s="87"/>
      <c r="W61" s="87"/>
    </row>
    <row r="62" spans="1:26" x14ac:dyDescent="0.2">
      <c r="X62" s="9"/>
    </row>
    <row r="64" spans="1:26" x14ac:dyDescent="0.2">
      <c r="X64" s="9"/>
    </row>
    <row r="66" spans="23:24" x14ac:dyDescent="0.2">
      <c r="W66" s="63"/>
    </row>
    <row r="67" spans="23:24" x14ac:dyDescent="0.2">
      <c r="X67" s="9"/>
    </row>
  </sheetData>
  <pageMargins left="0.6" right="0" top="0.48039215699999999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B142"/>
  <sheetViews>
    <sheetView showGridLines="0"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5.28515625" style="37" customWidth="1"/>
    <col min="12" max="12" width="16.85546875" style="37" customWidth="1"/>
    <col min="13" max="13" width="15.42578125" style="37" customWidth="1"/>
    <col min="14" max="16" width="15.28515625" style="37" customWidth="1"/>
    <col min="17" max="17" width="14.85546875" style="37" customWidth="1"/>
    <col min="18" max="18" width="13.5703125" style="37" customWidth="1"/>
    <col min="19" max="19" width="12.5703125" style="37" customWidth="1"/>
    <col min="20" max="20" width="14.140625" style="72" customWidth="1"/>
    <col min="21" max="21" width="18.140625" style="72" customWidth="1"/>
    <col min="22" max="22" width="14" style="72" customWidth="1"/>
    <col min="23" max="23" width="14.28515625" style="72" customWidth="1"/>
    <col min="25" max="25" width="13.85546875" customWidth="1"/>
    <col min="26" max="26" width="11.28515625" bestFit="1" customWidth="1"/>
  </cols>
  <sheetData>
    <row r="1" spans="1:28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</row>
    <row r="2" spans="1:28" s="1" customFormat="1" ht="27" customHeight="1" x14ac:dyDescent="0.25">
      <c r="A2" s="47" t="s">
        <v>2</v>
      </c>
      <c r="B2" s="49" t="s">
        <v>135</v>
      </c>
      <c r="C2" s="47"/>
      <c r="D2" s="48"/>
      <c r="E2" s="48"/>
      <c r="F2" s="48"/>
      <c r="G2" s="48"/>
      <c r="H2" s="48"/>
      <c r="I2" s="48"/>
      <c r="J2" s="133" t="s">
        <v>328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325</v>
      </c>
      <c r="V2" s="67" t="s">
        <v>350</v>
      </c>
      <c r="W2" s="67"/>
      <c r="X2" s="2" t="s">
        <v>5</v>
      </c>
    </row>
    <row r="3" spans="1:28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0.66666666666666663</v>
      </c>
      <c r="W3" s="48"/>
    </row>
    <row r="4" spans="1:28" s="1" customFormat="1" ht="18" customHeight="1" x14ac:dyDescent="0.25">
      <c r="A4" s="47" t="s">
        <v>9</v>
      </c>
      <c r="B4" s="47" t="s">
        <v>294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8" s="1" customFormat="1" ht="48.75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327</v>
      </c>
      <c r="V5" s="53" t="s">
        <v>31</v>
      </c>
      <c r="W5" s="53" t="s">
        <v>31</v>
      </c>
    </row>
    <row r="6" spans="1:28" s="1" customFormat="1" ht="35.2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332</v>
      </c>
      <c r="U6" s="53" t="s">
        <v>333</v>
      </c>
      <c r="V6" s="55" t="s">
        <v>34</v>
      </c>
      <c r="W6" s="55" t="s">
        <v>35</v>
      </c>
    </row>
    <row r="7" spans="1:28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2"/>
      <c r="Y7" s="4"/>
      <c r="Z7" s="4"/>
      <c r="AA7" s="4"/>
      <c r="AB7" s="4"/>
    </row>
    <row r="8" spans="1:28" s="4" customFormat="1" ht="18" customHeight="1" x14ac:dyDescent="0.25">
      <c r="A8" s="190"/>
      <c r="B8" s="193" t="s">
        <v>198</v>
      </c>
      <c r="C8" s="194"/>
      <c r="D8" s="382">
        <v>100000</v>
      </c>
      <c r="E8" s="382">
        <v>1404151.69</v>
      </c>
      <c r="F8" s="195">
        <v>0</v>
      </c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70">
        <f>SUMIF($D$6:$R$6,$X$2,D8:R8)</f>
        <v>1504151.69</v>
      </c>
      <c r="T8" s="70">
        <f>SUM(D8:R8)</f>
        <v>1504151.69</v>
      </c>
      <c r="U8" s="60">
        <v>1554181</v>
      </c>
      <c r="V8" s="191"/>
      <c r="W8" s="191"/>
      <c r="X8" s="192"/>
    </row>
    <row r="9" spans="1:28" s="4" customFormat="1" ht="18" customHeight="1" x14ac:dyDescent="0.25">
      <c r="A9" s="190"/>
      <c r="B9" s="193" t="s">
        <v>239</v>
      </c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60">
        <v>-100000</v>
      </c>
      <c r="Q9" s="60">
        <v>-1400000</v>
      </c>
      <c r="R9" s="195"/>
      <c r="S9" s="198">
        <f>SUMIF($D$6:$R$6,$X$2,D9:R9)</f>
        <v>0</v>
      </c>
      <c r="T9" s="70">
        <f>SUM(D9:R9)</f>
        <v>-1500000</v>
      </c>
      <c r="U9" s="60">
        <v>-1081719</v>
      </c>
      <c r="V9" s="191"/>
      <c r="W9" s="191"/>
      <c r="X9" s="192"/>
    </row>
    <row r="10" spans="1:28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60"/>
      <c r="Q10" s="60"/>
      <c r="R10" s="195"/>
      <c r="S10" s="198"/>
      <c r="T10" s="60"/>
      <c r="U10" s="60"/>
      <c r="V10" s="191"/>
      <c r="W10" s="191"/>
      <c r="X10" s="197"/>
      <c r="Y10" s="105"/>
      <c r="Z10" s="105"/>
      <c r="AA10" s="105"/>
      <c r="AB10" s="4"/>
    </row>
    <row r="11" spans="1:28" s="1" customFormat="1" ht="18" customHeight="1" x14ac:dyDescent="0.2">
      <c r="A11" s="57" t="s">
        <v>109</v>
      </c>
      <c r="B11" s="57" t="s">
        <v>110</v>
      </c>
      <c r="C11" s="193"/>
      <c r="D11" s="198">
        <v>0</v>
      </c>
      <c r="E11" s="198">
        <v>98.75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f>$U11*'Revenue Forecast'!N30</f>
        <v>0</v>
      </c>
      <c r="O11" s="70">
        <v>0</v>
      </c>
      <c r="P11" s="70">
        <v>0</v>
      </c>
      <c r="Q11" s="70">
        <v>0</v>
      </c>
      <c r="R11" s="198">
        <v>0</v>
      </c>
      <c r="S11" s="198">
        <f>SUMIF($D$6:$R$6,$X$2,D11:R11)</f>
        <v>98.75</v>
      </c>
      <c r="T11" s="70">
        <f>SUM(D11:R11)</f>
        <v>98.75</v>
      </c>
      <c r="U11" s="70">
        <v>6000</v>
      </c>
      <c r="V11" s="199">
        <f>IF(U11=0,0,SUMIF($D$6:$R$6,$X$2,D11:R11)/U11)</f>
        <v>1.6458333333333332E-2</v>
      </c>
      <c r="W11" s="199">
        <f>IF(U11=0,0,T11/U11)</f>
        <v>1.6458333333333332E-2</v>
      </c>
      <c r="X11" s="192"/>
      <c r="Y11" s="4"/>
      <c r="Z11" s="4"/>
      <c r="AA11" s="4"/>
      <c r="AB11" s="4"/>
    </row>
    <row r="12" spans="1:28" s="1" customFormat="1" ht="18" customHeight="1" x14ac:dyDescent="0.2">
      <c r="A12" s="57" t="s">
        <v>58</v>
      </c>
      <c r="B12" s="57" t="s">
        <v>138</v>
      </c>
      <c r="C12" s="193"/>
      <c r="D12" s="198">
        <v>174861.75</v>
      </c>
      <c r="E12" s="198">
        <v>205578</v>
      </c>
      <c r="F12" s="70">
        <v>117549.75</v>
      </c>
      <c r="G12" s="70">
        <v>125126.25</v>
      </c>
      <c r="H12" s="70">
        <v>97761.75</v>
      </c>
      <c r="I12" s="70">
        <v>103017.75</v>
      </c>
      <c r="J12" s="70">
        <v>149394.75</v>
      </c>
      <c r="K12" s="70">
        <v>123095.25</v>
      </c>
      <c r="L12" s="70">
        <v>114000</v>
      </c>
      <c r="M12" s="70">
        <v>139000</v>
      </c>
      <c r="N12" s="70">
        <v>201000</v>
      </c>
      <c r="O12" s="70">
        <v>118000</v>
      </c>
      <c r="P12" s="70">
        <v>0</v>
      </c>
      <c r="Q12" s="70">
        <v>0</v>
      </c>
      <c r="R12" s="198">
        <v>0</v>
      </c>
      <c r="S12" s="198">
        <f>SUMIF($D$6:$R$6,$X$2,D12:R12)</f>
        <v>1096385.25</v>
      </c>
      <c r="T12" s="70">
        <f>SUM(D12:R12)</f>
        <v>1668385.25</v>
      </c>
      <c r="U12" s="70">
        <v>1800000</v>
      </c>
      <c r="V12" s="199">
        <f>IF(U12=0,0,SUMIF($D$6:$R$6,$X$2,D12:R12)/U12)</f>
        <v>0.60910291666666672</v>
      </c>
      <c r="W12" s="199">
        <f>IF(U12=0,0,T12/U12)</f>
        <v>0.92688069444444443</v>
      </c>
      <c r="X12" s="192"/>
      <c r="Y12" s="4"/>
      <c r="Z12" s="4"/>
      <c r="AA12" s="4"/>
      <c r="AB12" s="4"/>
    </row>
    <row r="13" spans="1:28" s="1" customFormat="1" ht="18" customHeight="1" x14ac:dyDescent="0.2">
      <c r="A13" s="57" t="s">
        <v>40</v>
      </c>
      <c r="B13" s="57" t="s">
        <v>41</v>
      </c>
      <c r="C13" s="193"/>
      <c r="D13" s="198">
        <v>0</v>
      </c>
      <c r="E13" s="198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198">
        <v>0</v>
      </c>
      <c r="S13" s="198">
        <f>SUMIF($D$6:$R$6,$X$2,D13:R13)</f>
        <v>0</v>
      </c>
      <c r="T13" s="70">
        <f>SUM(D13:R13)</f>
        <v>0</v>
      </c>
      <c r="U13" s="70">
        <v>0</v>
      </c>
      <c r="V13" s="199">
        <f>IF(U13=0,0,SUMIF($D$6:$R$6,$X$2,D13:R13)/U13)</f>
        <v>0</v>
      </c>
      <c r="W13" s="199">
        <f>IF(U13=0,0,T13/U13)</f>
        <v>0</v>
      </c>
      <c r="X13" s="192"/>
      <c r="Y13" s="4"/>
      <c r="Z13" s="4"/>
      <c r="AA13" s="4"/>
      <c r="AB13" s="4"/>
    </row>
    <row r="14" spans="1:28" s="1" customFormat="1" ht="18" customHeight="1" x14ac:dyDescent="0.2">
      <c r="A14" s="193" t="s">
        <v>133</v>
      </c>
      <c r="B14" s="193" t="s">
        <v>132</v>
      </c>
      <c r="C14" s="193"/>
      <c r="D14" s="198">
        <v>49155</v>
      </c>
      <c r="E14" s="198">
        <v>58365</v>
      </c>
      <c r="F14" s="70">
        <v>43370</v>
      </c>
      <c r="G14" s="70">
        <v>45381.25</v>
      </c>
      <c r="H14" s="70">
        <v>35055</v>
      </c>
      <c r="I14" s="70">
        <v>38325</v>
      </c>
      <c r="J14" s="70">
        <v>58435</v>
      </c>
      <c r="K14" s="70">
        <v>45595</v>
      </c>
      <c r="L14" s="70">
        <v>42000</v>
      </c>
      <c r="M14" s="70">
        <v>49000</v>
      </c>
      <c r="N14" s="70">
        <v>55000</v>
      </c>
      <c r="O14" s="70">
        <v>50500</v>
      </c>
      <c r="P14" s="70">
        <v>0</v>
      </c>
      <c r="Q14" s="70">
        <v>0</v>
      </c>
      <c r="R14" s="198">
        <v>0</v>
      </c>
      <c r="S14" s="198">
        <f>SUMIF($D$6:$R$6,$X$2,D14:R14)</f>
        <v>373681.25</v>
      </c>
      <c r="T14" s="70">
        <f>SUM(D14:R14)</f>
        <v>570181.25</v>
      </c>
      <c r="U14" s="70">
        <v>590000</v>
      </c>
      <c r="V14" s="199">
        <f>IF(U14=0,0,SUMIF($D$6:$R$6,$X$2,D14:R14)/U14)</f>
        <v>0.63335805084745767</v>
      </c>
      <c r="W14" s="199">
        <f>IF(U14=0,0,T14/U14)</f>
        <v>0.9664088983050847</v>
      </c>
      <c r="X14" s="192"/>
      <c r="Y14" s="4"/>
      <c r="Z14" s="4"/>
      <c r="AA14" s="4"/>
      <c r="AB14" s="4"/>
    </row>
    <row r="15" spans="1:28" s="1" customFormat="1" ht="10.5" customHeight="1" x14ac:dyDescent="0.2">
      <c r="A15" s="193"/>
      <c r="B15" s="193"/>
      <c r="C15" s="193"/>
      <c r="D15" s="198"/>
      <c r="E15" s="198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198"/>
      <c r="S15" s="198"/>
      <c r="T15" s="70"/>
      <c r="U15" s="70"/>
      <c r="V15" s="199"/>
      <c r="W15" s="199"/>
      <c r="X15" s="192"/>
      <c r="Y15" s="4"/>
      <c r="Z15" s="4"/>
      <c r="AA15" s="4"/>
      <c r="AB15" s="4"/>
    </row>
    <row r="16" spans="1:28" s="1" customFormat="1" ht="18" customHeight="1" x14ac:dyDescent="0.25">
      <c r="A16" s="200" t="s">
        <v>131</v>
      </c>
      <c r="B16" s="200"/>
      <c r="C16" s="200"/>
      <c r="D16" s="381">
        <f>SUM(D8:D15)</f>
        <v>324016.75</v>
      </c>
      <c r="E16" s="381">
        <f t="shared" ref="E16:O16" si="0">SUM(E8:E15)</f>
        <v>1668193.44</v>
      </c>
      <c r="F16" s="91">
        <f t="shared" si="0"/>
        <v>160919.75</v>
      </c>
      <c r="G16" s="91">
        <f t="shared" si="0"/>
        <v>170507.5</v>
      </c>
      <c r="H16" s="91">
        <f t="shared" si="0"/>
        <v>132816.75</v>
      </c>
      <c r="I16" s="91">
        <f t="shared" si="0"/>
        <v>141342.75</v>
      </c>
      <c r="J16" s="91">
        <f t="shared" si="0"/>
        <v>207829.75</v>
      </c>
      <c r="K16" s="91">
        <f t="shared" si="0"/>
        <v>168690.25</v>
      </c>
      <c r="L16" s="91">
        <f t="shared" si="0"/>
        <v>156000</v>
      </c>
      <c r="M16" s="91">
        <f t="shared" si="0"/>
        <v>188000</v>
      </c>
      <c r="N16" s="91">
        <f t="shared" si="0"/>
        <v>256000</v>
      </c>
      <c r="O16" s="91">
        <f t="shared" si="0"/>
        <v>168500</v>
      </c>
      <c r="P16" s="91">
        <v>-100000</v>
      </c>
      <c r="Q16" s="91">
        <v>-1400000</v>
      </c>
      <c r="R16" s="201">
        <f>SUM(R8:R15)</f>
        <v>0</v>
      </c>
      <c r="S16" s="201">
        <f t="shared" ref="S16:U16" si="1">SUM(S8:S15)</f>
        <v>2974316.94</v>
      </c>
      <c r="T16" s="91">
        <f t="shared" si="1"/>
        <v>2242816.94</v>
      </c>
      <c r="U16" s="91">
        <f t="shared" si="1"/>
        <v>2868462</v>
      </c>
      <c r="V16" s="202">
        <f>SUMIF($D$6:$R$6,$X$2,D16:R16)/U16</f>
        <v>1.0369030302649991</v>
      </c>
      <c r="W16" s="202">
        <f>T16/U16</f>
        <v>0.78188832203459557</v>
      </c>
      <c r="X16" s="192"/>
      <c r="Y16" s="4"/>
      <c r="Z16" s="4"/>
      <c r="AA16" s="4"/>
      <c r="AB16" s="4"/>
    </row>
    <row r="17" spans="1:28" s="1" customFormat="1" ht="6" customHeight="1" x14ac:dyDescent="0.25">
      <c r="A17" s="200"/>
      <c r="B17" s="200"/>
      <c r="C17" s="200"/>
      <c r="D17" s="201"/>
      <c r="E17" s="201"/>
      <c r="F17" s="91"/>
      <c r="G17" s="201"/>
      <c r="H17" s="201"/>
      <c r="I17" s="201"/>
      <c r="J17" s="201"/>
      <c r="K17" s="201"/>
      <c r="L17" s="91"/>
      <c r="M17" s="91"/>
      <c r="N17" s="91"/>
      <c r="O17" s="91"/>
      <c r="P17" s="91"/>
      <c r="Q17" s="91"/>
      <c r="R17" s="201"/>
      <c r="S17" s="201"/>
      <c r="T17" s="91"/>
      <c r="U17" s="91"/>
      <c r="V17" s="202"/>
      <c r="W17" s="202"/>
      <c r="X17" s="192"/>
      <c r="Y17" s="4"/>
      <c r="Z17" s="4"/>
      <c r="AA17" s="4"/>
      <c r="AB17" s="4"/>
    </row>
    <row r="18" spans="1:28" s="1" customFormat="1" ht="18" customHeight="1" x14ac:dyDescent="0.25">
      <c r="A18" s="194" t="s">
        <v>43</v>
      </c>
      <c r="B18" s="194"/>
      <c r="C18" s="194"/>
      <c r="D18" s="195"/>
      <c r="E18" s="195"/>
      <c r="F18" s="60"/>
      <c r="G18" s="195"/>
      <c r="H18" s="195"/>
      <c r="I18" s="195"/>
      <c r="J18" s="195"/>
      <c r="K18" s="195"/>
      <c r="L18" s="60"/>
      <c r="M18" s="60"/>
      <c r="N18" s="60"/>
      <c r="O18" s="60"/>
      <c r="P18" s="60"/>
      <c r="Q18" s="60"/>
      <c r="R18" s="195"/>
      <c r="S18" s="195"/>
      <c r="T18" s="60"/>
      <c r="U18" s="60"/>
      <c r="V18" s="202"/>
      <c r="W18" s="202"/>
      <c r="X18" s="192"/>
      <c r="Y18" s="4"/>
      <c r="Z18" s="4"/>
      <c r="AA18" s="4"/>
      <c r="AB18" s="4"/>
    </row>
    <row r="19" spans="1:28" s="14" customFormat="1" x14ac:dyDescent="0.2">
      <c r="A19" s="193" t="s">
        <v>44</v>
      </c>
      <c r="B19" s="193" t="s">
        <v>45</v>
      </c>
      <c r="C19" s="193"/>
      <c r="D19" s="70">
        <v>90180.96</v>
      </c>
      <c r="E19" s="70">
        <v>137081.48000000001</v>
      </c>
      <c r="F19" s="70">
        <v>142001.98000000001</v>
      </c>
      <c r="G19" s="70">
        <v>232776.94</v>
      </c>
      <c r="H19" s="70">
        <v>124010.23</v>
      </c>
      <c r="I19" s="70">
        <v>146695.51</v>
      </c>
      <c r="J19" s="70">
        <v>147108.82999999999</v>
      </c>
      <c r="K19" s="70">
        <v>143544.82999999999</v>
      </c>
      <c r="L19" s="70">
        <v>147126</v>
      </c>
      <c r="M19" s="70">
        <v>147126</v>
      </c>
      <c r="N19" s="70">
        <v>220690</v>
      </c>
      <c r="O19" s="70">
        <v>147126</v>
      </c>
      <c r="P19" s="70">
        <v>72117</v>
      </c>
      <c r="Q19" s="70">
        <f>'Fcst by Job Class'!S21</f>
        <v>0</v>
      </c>
      <c r="R19" s="198">
        <v>0</v>
      </c>
      <c r="S19" s="198">
        <f t="shared" ref="S19:S42" si="2">SUMIF($D$6:$R$6,$X$2,D19:R19)</f>
        <v>1163400.76</v>
      </c>
      <c r="T19" s="70">
        <f t="shared" ref="T19:T42" si="3">SUM(D19:R19)</f>
        <v>1897585.76</v>
      </c>
      <c r="U19" s="70">
        <v>1912643</v>
      </c>
      <c r="V19" s="199">
        <f>IF(U19=0,0,SUMIF($D$6:$R$6,$X$2,D19:R19)/U19)</f>
        <v>0.60826864187409779</v>
      </c>
      <c r="W19" s="199">
        <f>IF(U19=0,0,T19/U19)</f>
        <v>0.99212752196829201</v>
      </c>
      <c r="X19" s="206"/>
      <c r="Y19" s="317"/>
    </row>
    <row r="20" spans="1:28" s="14" customFormat="1" x14ac:dyDescent="0.2">
      <c r="A20" s="193" t="s">
        <v>46</v>
      </c>
      <c r="B20" s="193" t="s">
        <v>47</v>
      </c>
      <c r="C20" s="193"/>
      <c r="D20" s="198">
        <v>0</v>
      </c>
      <c r="E20" s="198">
        <v>0</v>
      </c>
      <c r="F20" s="198">
        <v>719.5</v>
      </c>
      <c r="G20" s="198">
        <v>1601.6</v>
      </c>
      <c r="H20" s="198">
        <v>1543</v>
      </c>
      <c r="I20" s="198">
        <v>873.5</v>
      </c>
      <c r="J20" s="198">
        <v>1433.19</v>
      </c>
      <c r="K20" s="198">
        <v>793.7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198">
        <v>0</v>
      </c>
      <c r="R20" s="198">
        <v>0</v>
      </c>
      <c r="S20" s="198">
        <f t="shared" si="2"/>
        <v>6964.4900000000007</v>
      </c>
      <c r="T20" s="70">
        <f t="shared" si="3"/>
        <v>6964.4900000000007</v>
      </c>
      <c r="U20" s="198">
        <v>21000</v>
      </c>
      <c r="V20" s="199">
        <f t="shared" ref="V20:V42" si="4">IF(U20=0,0,SUMIF($D$6:$R$6,$X$2,D20:R20)/U20)</f>
        <v>0.33164238095238097</v>
      </c>
      <c r="W20" s="199">
        <f t="shared" ref="W20:W42" si="5">IF(U20=0,0,T20/U20)</f>
        <v>0.33164238095238097</v>
      </c>
      <c r="X20" s="206"/>
      <c r="Y20" s="317"/>
    </row>
    <row r="21" spans="1:28" s="14" customFormat="1" x14ac:dyDescent="0.2">
      <c r="A21" s="57" t="s">
        <v>38</v>
      </c>
      <c r="B21" s="57" t="s">
        <v>48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385.68</v>
      </c>
      <c r="I21" s="198">
        <v>0</v>
      </c>
      <c r="J21" s="198">
        <v>0</v>
      </c>
      <c r="K21" s="198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198">
        <v>0</v>
      </c>
      <c r="R21" s="198">
        <v>0</v>
      </c>
      <c r="S21" s="198">
        <f t="shared" ref="S21" si="6">SUMIF($D$6:$R$6,$X$2,D21:R21)</f>
        <v>385.68</v>
      </c>
      <c r="T21" s="70">
        <f t="shared" ref="T21" si="7">SUM(D21:R21)</f>
        <v>385.68</v>
      </c>
      <c r="U21" s="198">
        <v>20000</v>
      </c>
      <c r="V21" s="199">
        <f t="shared" ref="V21" si="8">IF(U21=0,0,SUMIF($D$6:$R$6,$X$2,D21:R21)/U21)</f>
        <v>1.9283999999999999E-2</v>
      </c>
      <c r="W21" s="199">
        <f t="shared" ref="W21" si="9">IF(U21=0,0,T21/U21)</f>
        <v>1.9283999999999999E-2</v>
      </c>
      <c r="X21" s="206"/>
      <c r="Y21" s="317"/>
    </row>
    <row r="22" spans="1:28" s="14" customFormat="1" x14ac:dyDescent="0.2">
      <c r="A22" s="193" t="s">
        <v>39</v>
      </c>
      <c r="B22" s="193" t="s">
        <v>49</v>
      </c>
      <c r="C22" s="193"/>
      <c r="D22" s="70">
        <v>0</v>
      </c>
      <c r="E22" s="70">
        <v>153.51</v>
      </c>
      <c r="F22" s="198">
        <v>69.16</v>
      </c>
      <c r="G22" s="198">
        <v>493.36</v>
      </c>
      <c r="H22" s="198">
        <v>0</v>
      </c>
      <c r="I22" s="198">
        <v>0</v>
      </c>
      <c r="J22" s="198">
        <v>0</v>
      </c>
      <c r="K22" s="198">
        <v>306.33</v>
      </c>
      <c r="L22" s="70">
        <v>0</v>
      </c>
      <c r="M22" s="70">
        <v>0</v>
      </c>
      <c r="N22" s="70">
        <v>6000</v>
      </c>
      <c r="O22" s="70">
        <v>0</v>
      </c>
      <c r="P22" s="70">
        <v>0</v>
      </c>
      <c r="Q22" s="198">
        <v>0</v>
      </c>
      <c r="R22" s="198">
        <v>0</v>
      </c>
      <c r="S22" s="198">
        <f t="shared" si="2"/>
        <v>1022.3599999999999</v>
      </c>
      <c r="T22" s="70">
        <f t="shared" si="3"/>
        <v>7022.36</v>
      </c>
      <c r="U22" s="198">
        <v>10500</v>
      </c>
      <c r="V22" s="199">
        <f t="shared" si="4"/>
        <v>9.7367619047619036E-2</v>
      </c>
      <c r="W22" s="199">
        <f t="shared" si="5"/>
        <v>0.66879619047619043</v>
      </c>
      <c r="X22" s="206"/>
      <c r="Y22" s="317"/>
    </row>
    <row r="23" spans="1:28" s="14" customFormat="1" x14ac:dyDescent="0.2">
      <c r="A23" s="193" t="s">
        <v>234</v>
      </c>
      <c r="B23" s="193" t="s">
        <v>235</v>
      </c>
      <c r="C23" s="193"/>
      <c r="D23" s="70">
        <v>0</v>
      </c>
      <c r="E23" s="70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198">
        <v>0</v>
      </c>
      <c r="R23" s="198">
        <v>0</v>
      </c>
      <c r="S23" s="198">
        <f t="shared" si="2"/>
        <v>0</v>
      </c>
      <c r="T23" s="70">
        <f t="shared" si="3"/>
        <v>0</v>
      </c>
      <c r="U23" s="198">
        <v>1000</v>
      </c>
      <c r="V23" s="199">
        <f t="shared" si="4"/>
        <v>0</v>
      </c>
      <c r="W23" s="199">
        <f t="shared" si="5"/>
        <v>0</v>
      </c>
      <c r="X23" s="206"/>
      <c r="Y23" s="317"/>
    </row>
    <row r="24" spans="1:28" s="14" customFormat="1" x14ac:dyDescent="0.2">
      <c r="A24" s="57" t="s">
        <v>52</v>
      </c>
      <c r="B24" s="57" t="s">
        <v>53</v>
      </c>
      <c r="C24" s="193"/>
      <c r="D24" s="70">
        <v>0</v>
      </c>
      <c r="E24" s="70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198">
        <v>0</v>
      </c>
      <c r="R24" s="198">
        <v>0</v>
      </c>
      <c r="S24" s="198">
        <f t="shared" ref="S24" si="10">SUMIF($D$6:$R$6,$X$2,D24:R24)</f>
        <v>0</v>
      </c>
      <c r="T24" s="70">
        <f t="shared" ref="T24" si="11">SUM(D24:R24)</f>
        <v>0</v>
      </c>
      <c r="U24" s="198">
        <v>0</v>
      </c>
      <c r="V24" s="199">
        <f t="shared" ref="V24" si="12">IF(U24=0,0,SUMIF($D$6:$R$6,$X$2,D24:R24)/U24)</f>
        <v>0</v>
      </c>
      <c r="W24" s="199">
        <f t="shared" ref="W24" si="13">IF(U24=0,0,T24/U24)</f>
        <v>0</v>
      </c>
      <c r="X24" s="206"/>
      <c r="Y24" s="317"/>
    </row>
    <row r="25" spans="1:28" s="14" customFormat="1" x14ac:dyDescent="0.2">
      <c r="A25" s="193" t="s">
        <v>54</v>
      </c>
      <c r="B25" s="193" t="s">
        <v>55</v>
      </c>
      <c r="C25" s="193"/>
      <c r="D25" s="70">
        <v>0</v>
      </c>
      <c r="E25" s="70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40</v>
      </c>
      <c r="K25" s="198">
        <v>120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198">
        <v>0</v>
      </c>
      <c r="R25" s="198">
        <v>0</v>
      </c>
      <c r="S25" s="198">
        <f t="shared" si="2"/>
        <v>160</v>
      </c>
      <c r="T25" s="70">
        <f t="shared" si="3"/>
        <v>160</v>
      </c>
      <c r="U25" s="198">
        <v>3500</v>
      </c>
      <c r="V25" s="199">
        <f t="shared" si="4"/>
        <v>4.5714285714285714E-2</v>
      </c>
      <c r="W25" s="199">
        <f t="shared" si="5"/>
        <v>4.5714285714285714E-2</v>
      </c>
      <c r="X25" s="206"/>
      <c r="Y25" s="317"/>
    </row>
    <row r="26" spans="1:28" s="14" customFormat="1" x14ac:dyDescent="0.2">
      <c r="A26" s="193" t="s">
        <v>125</v>
      </c>
      <c r="B26" s="193" t="s">
        <v>126</v>
      </c>
      <c r="C26" s="193"/>
      <c r="D26" s="70">
        <v>0</v>
      </c>
      <c r="E26" s="70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198">
        <v>0</v>
      </c>
      <c r="R26" s="198">
        <v>0</v>
      </c>
      <c r="S26" s="198">
        <f t="shared" ref="S26" si="14">SUMIF($D$6:$R$6,$X$2,D26:R26)</f>
        <v>0</v>
      </c>
      <c r="T26" s="70">
        <f t="shared" ref="T26" si="15">SUM(D26:R26)</f>
        <v>0</v>
      </c>
      <c r="U26" s="198">
        <v>0</v>
      </c>
      <c r="V26" s="199">
        <f t="shared" ref="V26" si="16">IF(U26=0,0,SUMIF($D$6:$R$6,$X$2,D26:R26)/U26)</f>
        <v>0</v>
      </c>
      <c r="W26" s="199">
        <f t="shared" ref="W26" si="17">IF(U26=0,0,T26/U26)</f>
        <v>0</v>
      </c>
      <c r="X26" s="206"/>
      <c r="Y26" s="317"/>
    </row>
    <row r="27" spans="1:28" s="14" customFormat="1" x14ac:dyDescent="0.2">
      <c r="A27" s="193" t="s">
        <v>56</v>
      </c>
      <c r="B27" s="193" t="s">
        <v>57</v>
      </c>
      <c r="C27" s="193"/>
      <c r="D27" s="70">
        <v>0</v>
      </c>
      <c r="E27" s="70">
        <v>261.02</v>
      </c>
      <c r="F27" s="198">
        <v>803.22</v>
      </c>
      <c r="G27" s="198">
        <v>627.64</v>
      </c>
      <c r="H27" s="198">
        <v>382.58</v>
      </c>
      <c r="I27" s="198">
        <v>410.07</v>
      </c>
      <c r="J27" s="198">
        <v>485</v>
      </c>
      <c r="K27" s="198">
        <v>275.67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198">
        <v>0</v>
      </c>
      <c r="R27" s="198">
        <v>0</v>
      </c>
      <c r="S27" s="198">
        <f t="shared" si="2"/>
        <v>3245.2000000000003</v>
      </c>
      <c r="T27" s="70">
        <f t="shared" si="3"/>
        <v>3245.2000000000003</v>
      </c>
      <c r="U27" s="198">
        <v>12500</v>
      </c>
      <c r="V27" s="199">
        <f t="shared" si="4"/>
        <v>0.25961600000000001</v>
      </c>
      <c r="W27" s="199">
        <f t="shared" si="5"/>
        <v>0.25961600000000001</v>
      </c>
      <c r="X27" s="206"/>
      <c r="Y27" s="317"/>
    </row>
    <row r="28" spans="1:28" s="14" customFormat="1" x14ac:dyDescent="0.2">
      <c r="A28" s="193" t="s">
        <v>58</v>
      </c>
      <c r="B28" s="193" t="s">
        <v>59</v>
      </c>
      <c r="C28" s="193"/>
      <c r="D28" s="70">
        <v>0</v>
      </c>
      <c r="E28" s="70">
        <v>1619.41</v>
      </c>
      <c r="F28" s="70">
        <v>1616.28</v>
      </c>
      <c r="G28" s="70">
        <v>894</v>
      </c>
      <c r="H28" s="70">
        <v>1641.78</v>
      </c>
      <c r="I28" s="70">
        <v>1384.34</v>
      </c>
      <c r="J28" s="70">
        <v>1702.07</v>
      </c>
      <c r="K28" s="70">
        <v>894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198">
        <v>0</v>
      </c>
      <c r="R28" s="198">
        <v>0</v>
      </c>
      <c r="S28" s="198">
        <f t="shared" si="2"/>
        <v>9751.880000000001</v>
      </c>
      <c r="T28" s="70">
        <f t="shared" si="3"/>
        <v>9751.880000000001</v>
      </c>
      <c r="U28" s="198">
        <v>20000.11</v>
      </c>
      <c r="V28" s="199">
        <f t="shared" si="4"/>
        <v>0.48759131824774965</v>
      </c>
      <c r="W28" s="199">
        <f t="shared" si="5"/>
        <v>0.48759131824774965</v>
      </c>
      <c r="X28" s="206"/>
      <c r="Y28" s="317"/>
    </row>
    <row r="29" spans="1:28" s="14" customFormat="1" x14ac:dyDescent="0.2">
      <c r="A29" s="193" t="s">
        <v>60</v>
      </c>
      <c r="B29" s="193" t="s">
        <v>61</v>
      </c>
      <c r="C29" s="193"/>
      <c r="D29" s="70">
        <v>0</v>
      </c>
      <c r="E29" s="70">
        <v>5250</v>
      </c>
      <c r="F29" s="70">
        <v>5250</v>
      </c>
      <c r="G29" s="70">
        <v>5250</v>
      </c>
      <c r="H29" s="70">
        <v>0</v>
      </c>
      <c r="I29" s="70">
        <v>5250</v>
      </c>
      <c r="J29" s="70">
        <v>10500</v>
      </c>
      <c r="K29" s="70">
        <v>5250</v>
      </c>
      <c r="L29" s="70">
        <v>5250</v>
      </c>
      <c r="M29" s="70">
        <v>5250</v>
      </c>
      <c r="N29" s="70">
        <v>5250</v>
      </c>
      <c r="O29" s="70">
        <v>5250</v>
      </c>
      <c r="P29" s="70">
        <v>5250</v>
      </c>
      <c r="Q29" s="198">
        <v>0</v>
      </c>
      <c r="R29" s="198">
        <v>0</v>
      </c>
      <c r="S29" s="198">
        <f t="shared" si="2"/>
        <v>36750</v>
      </c>
      <c r="T29" s="70">
        <f t="shared" si="3"/>
        <v>63000</v>
      </c>
      <c r="U29" s="198">
        <v>71500</v>
      </c>
      <c r="V29" s="199">
        <f t="shared" si="4"/>
        <v>0.51398601398601396</v>
      </c>
      <c r="W29" s="199">
        <f t="shared" si="5"/>
        <v>0.88111888111888115</v>
      </c>
      <c r="X29" s="206"/>
      <c r="Y29" s="317"/>
    </row>
    <row r="30" spans="1:28" s="14" customFormat="1" x14ac:dyDescent="0.2">
      <c r="A30" s="193" t="s">
        <v>237</v>
      </c>
      <c r="B30" s="193" t="s">
        <v>238</v>
      </c>
      <c r="C30" s="193"/>
      <c r="D30" s="70">
        <v>0</v>
      </c>
      <c r="E30" s="70">
        <v>187.06</v>
      </c>
      <c r="F30" s="70">
        <v>179.71</v>
      </c>
      <c r="G30" s="70">
        <v>187.03</v>
      </c>
      <c r="H30" s="70">
        <v>140.75</v>
      </c>
      <c r="I30" s="70">
        <v>175.92</v>
      </c>
      <c r="J30" s="70">
        <v>294.02</v>
      </c>
      <c r="K30" s="70">
        <v>384</v>
      </c>
      <c r="L30" s="70">
        <v>0</v>
      </c>
      <c r="M30" s="70">
        <v>0</v>
      </c>
      <c r="N30" s="70">
        <v>0</v>
      </c>
      <c r="O30" s="70">
        <v>0</v>
      </c>
      <c r="P30" s="70">
        <v>0</v>
      </c>
      <c r="Q30" s="198">
        <v>0</v>
      </c>
      <c r="R30" s="198"/>
      <c r="S30" s="198">
        <f t="shared" ref="S30" si="18">SUMIF($D$6:$R$6,$X$2,D30:R30)</f>
        <v>1548.4899999999998</v>
      </c>
      <c r="T30" s="70">
        <f t="shared" ref="T30" si="19">SUM(D30:R30)</f>
        <v>1548.4899999999998</v>
      </c>
      <c r="U30" s="198">
        <v>4000.25</v>
      </c>
      <c r="V30" s="199">
        <f t="shared" ref="V30" si="20">IF(U30=0,0,SUMIF($D$6:$R$6,$X$2,D30:R30)/U30)</f>
        <v>0.38709830635585268</v>
      </c>
      <c r="W30" s="199">
        <f t="shared" ref="W30" si="21">IF(U30=0,0,T30/U30)</f>
        <v>0.38709830635585268</v>
      </c>
      <c r="X30" s="206"/>
      <c r="Y30" s="317"/>
    </row>
    <row r="31" spans="1:28" s="14" customFormat="1" x14ac:dyDescent="0.2">
      <c r="A31" s="193" t="s">
        <v>62</v>
      </c>
      <c r="B31" s="193" t="s">
        <v>63</v>
      </c>
      <c r="C31" s="193"/>
      <c r="D31" s="70">
        <v>0</v>
      </c>
      <c r="E31" s="70">
        <v>0</v>
      </c>
      <c r="F31" s="70">
        <v>1538</v>
      </c>
      <c r="G31" s="70">
        <v>0</v>
      </c>
      <c r="H31" s="70">
        <v>161.47999999999999</v>
      </c>
      <c r="I31" s="70">
        <v>0</v>
      </c>
      <c r="J31" s="70">
        <v>322.95999999999998</v>
      </c>
      <c r="K31" s="70">
        <v>161.47999999999999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198">
        <v>0</v>
      </c>
      <c r="R31" s="198">
        <v>0</v>
      </c>
      <c r="S31" s="198">
        <f t="shared" si="2"/>
        <v>2183.92</v>
      </c>
      <c r="T31" s="70">
        <f t="shared" si="3"/>
        <v>2183.92</v>
      </c>
      <c r="U31" s="198">
        <v>5000</v>
      </c>
      <c r="V31" s="199">
        <f t="shared" si="4"/>
        <v>0.43678400000000001</v>
      </c>
      <c r="W31" s="199">
        <f t="shared" si="5"/>
        <v>0.43678400000000001</v>
      </c>
      <c r="X31" s="206"/>
      <c r="Y31" s="317"/>
    </row>
    <row r="32" spans="1:28" s="14" customFormat="1" x14ac:dyDescent="0.2">
      <c r="A32" s="193" t="s">
        <v>64</v>
      </c>
      <c r="B32" s="193" t="s">
        <v>65</v>
      </c>
      <c r="C32" s="193"/>
      <c r="D32" s="70">
        <v>0</v>
      </c>
      <c r="E32" s="70">
        <v>0</v>
      </c>
      <c r="F32" s="70">
        <v>945.06</v>
      </c>
      <c r="G32" s="70">
        <v>359.52</v>
      </c>
      <c r="H32" s="70">
        <v>359.52</v>
      </c>
      <c r="I32" s="70">
        <v>57.6</v>
      </c>
      <c r="J32" s="70">
        <v>835.36</v>
      </c>
      <c r="K32" s="70">
        <v>639.87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198">
        <v>0</v>
      </c>
      <c r="R32" s="198">
        <v>0</v>
      </c>
      <c r="S32" s="198">
        <f t="shared" si="2"/>
        <v>3196.93</v>
      </c>
      <c r="T32" s="70">
        <f t="shared" si="3"/>
        <v>3196.93</v>
      </c>
      <c r="U32" s="198">
        <v>6000</v>
      </c>
      <c r="V32" s="199">
        <f t="shared" si="4"/>
        <v>0.53282166666666664</v>
      </c>
      <c r="W32" s="199">
        <f t="shared" si="5"/>
        <v>0.53282166666666664</v>
      </c>
      <c r="X32" s="206"/>
      <c r="Y32" s="317"/>
    </row>
    <row r="33" spans="1:28" s="14" customFormat="1" x14ac:dyDescent="0.2">
      <c r="A33" s="193" t="s">
        <v>66</v>
      </c>
      <c r="B33" s="193" t="s">
        <v>67</v>
      </c>
      <c r="C33" s="193"/>
      <c r="D33" s="70">
        <v>0</v>
      </c>
      <c r="E33" s="70">
        <v>0</v>
      </c>
      <c r="F33" s="198">
        <v>0</v>
      </c>
      <c r="G33" s="198">
        <v>0</v>
      </c>
      <c r="H33" s="198">
        <v>0</v>
      </c>
      <c r="I33" s="198">
        <v>0</v>
      </c>
      <c r="J33" s="198">
        <v>0</v>
      </c>
      <c r="K33" s="198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198">
        <v>0</v>
      </c>
      <c r="R33" s="198">
        <v>0</v>
      </c>
      <c r="S33" s="198">
        <f t="shared" si="2"/>
        <v>0</v>
      </c>
      <c r="T33" s="70">
        <f t="shared" si="3"/>
        <v>0</v>
      </c>
      <c r="U33" s="198">
        <v>199.67000000000002</v>
      </c>
      <c r="V33" s="199">
        <f t="shared" si="4"/>
        <v>0</v>
      </c>
      <c r="W33" s="199">
        <f t="shared" si="5"/>
        <v>0</v>
      </c>
      <c r="X33" s="206"/>
      <c r="Y33" s="317"/>
    </row>
    <row r="34" spans="1:28" s="14" customFormat="1" x14ac:dyDescent="0.2">
      <c r="A34" s="193" t="s">
        <v>68</v>
      </c>
      <c r="B34" s="193" t="s">
        <v>69</v>
      </c>
      <c r="C34" s="319"/>
      <c r="D34" s="70">
        <v>0</v>
      </c>
      <c r="E34" s="70">
        <v>0</v>
      </c>
      <c r="F34" s="198">
        <v>0</v>
      </c>
      <c r="G34" s="198">
        <v>101.85</v>
      </c>
      <c r="H34" s="198">
        <v>0</v>
      </c>
      <c r="I34" s="198">
        <v>0</v>
      </c>
      <c r="J34" s="198">
        <v>110.05</v>
      </c>
      <c r="K34" s="198">
        <v>0</v>
      </c>
      <c r="L34" s="70">
        <v>0</v>
      </c>
      <c r="M34" s="70">
        <v>0</v>
      </c>
      <c r="N34" s="70">
        <v>0</v>
      </c>
      <c r="O34" s="70">
        <v>0</v>
      </c>
      <c r="P34" s="70">
        <v>0</v>
      </c>
      <c r="Q34" s="198">
        <v>0</v>
      </c>
      <c r="R34" s="198">
        <v>0</v>
      </c>
      <c r="S34" s="198">
        <f t="shared" si="2"/>
        <v>211.89999999999998</v>
      </c>
      <c r="T34" s="70">
        <f t="shared" si="3"/>
        <v>211.89999999999998</v>
      </c>
      <c r="U34" s="198">
        <v>1000</v>
      </c>
      <c r="V34" s="199">
        <f t="shared" si="4"/>
        <v>0.21189999999999998</v>
      </c>
      <c r="W34" s="199">
        <f t="shared" si="5"/>
        <v>0.21189999999999998</v>
      </c>
      <c r="X34" s="206"/>
      <c r="Y34" s="317"/>
    </row>
    <row r="35" spans="1:28" s="14" customFormat="1" x14ac:dyDescent="0.2">
      <c r="A35" s="193" t="s">
        <v>71</v>
      </c>
      <c r="B35" s="193" t="s">
        <v>72</v>
      </c>
      <c r="C35" s="193"/>
      <c r="D35" s="70">
        <v>0</v>
      </c>
      <c r="E35" s="70">
        <v>1230.47</v>
      </c>
      <c r="F35" s="70">
        <v>1906.37</v>
      </c>
      <c r="G35" s="70">
        <v>1521.93</v>
      </c>
      <c r="H35" s="70">
        <v>283.07</v>
      </c>
      <c r="I35" s="70">
        <v>297.14999999999998</v>
      </c>
      <c r="J35" s="70">
        <v>1244.82</v>
      </c>
      <c r="K35" s="70">
        <v>286.57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198">
        <v>0</v>
      </c>
      <c r="R35" s="198">
        <v>0</v>
      </c>
      <c r="S35" s="198">
        <f t="shared" si="2"/>
        <v>6770.3799999999992</v>
      </c>
      <c r="T35" s="70">
        <f t="shared" si="3"/>
        <v>6770.3799999999992</v>
      </c>
      <c r="U35" s="70">
        <v>8000</v>
      </c>
      <c r="V35" s="199">
        <f t="shared" si="4"/>
        <v>0.84629749999999992</v>
      </c>
      <c r="W35" s="199">
        <f t="shared" si="5"/>
        <v>0.84629749999999992</v>
      </c>
      <c r="X35" s="206"/>
      <c r="Y35" s="317"/>
    </row>
    <row r="36" spans="1:28" s="14" customFormat="1" x14ac:dyDescent="0.2">
      <c r="A36" s="193" t="s">
        <v>73</v>
      </c>
      <c r="B36" s="193" t="s">
        <v>74</v>
      </c>
      <c r="C36" s="193"/>
      <c r="D36" s="70">
        <v>0</v>
      </c>
      <c r="E36" s="70">
        <v>1387.55</v>
      </c>
      <c r="F36" s="198">
        <v>186489.01</v>
      </c>
      <c r="G36" s="198">
        <v>2379.5700000000002</v>
      </c>
      <c r="H36" s="198">
        <v>2032.46</v>
      </c>
      <c r="I36" s="198">
        <v>1966.04</v>
      </c>
      <c r="J36" s="70">
        <v>1876.78</v>
      </c>
      <c r="K36" s="70">
        <v>2072.54</v>
      </c>
      <c r="L36" s="70">
        <v>0</v>
      </c>
      <c r="M36" s="70">
        <v>0</v>
      </c>
      <c r="N36" s="70">
        <v>0</v>
      </c>
      <c r="O36" s="70">
        <v>0</v>
      </c>
      <c r="P36" s="70">
        <v>0</v>
      </c>
      <c r="Q36" s="198">
        <v>0</v>
      </c>
      <c r="R36" s="198">
        <v>0</v>
      </c>
      <c r="S36" s="198">
        <f t="shared" si="2"/>
        <v>198203.95</v>
      </c>
      <c r="T36" s="70">
        <f t="shared" si="3"/>
        <v>198203.95</v>
      </c>
      <c r="U36" s="70">
        <v>210000</v>
      </c>
      <c r="V36" s="199">
        <f t="shared" si="4"/>
        <v>0.94382833333333338</v>
      </c>
      <c r="W36" s="199">
        <f t="shared" si="5"/>
        <v>0.94382833333333338</v>
      </c>
      <c r="X36" s="206"/>
      <c r="Y36" s="317"/>
    </row>
    <row r="37" spans="1:28" s="14" customFormat="1" x14ac:dyDescent="0.2">
      <c r="A37" s="57" t="s">
        <v>143</v>
      </c>
      <c r="B37" s="57" t="s">
        <v>144</v>
      </c>
      <c r="C37" s="193"/>
      <c r="D37" s="70">
        <v>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198">
        <v>0</v>
      </c>
      <c r="R37" s="198">
        <v>0</v>
      </c>
      <c r="S37" s="198">
        <f t="shared" ref="S37" si="22">SUMIF($D$6:$R$6,$X$2,D37:R37)</f>
        <v>0</v>
      </c>
      <c r="T37" s="70">
        <f t="shared" ref="T37" si="23">SUM(D37:R37)</f>
        <v>0</v>
      </c>
      <c r="U37" s="70">
        <v>25000</v>
      </c>
      <c r="V37" s="199">
        <f t="shared" ref="V37" si="24">IF(U37=0,0,SUMIF($D$6:$R$6,$X$2,D37:R37)/U37)</f>
        <v>0</v>
      </c>
      <c r="W37" s="199">
        <f t="shared" ref="W37" si="25">IF(U37=0,0,T37/U37)</f>
        <v>0</v>
      </c>
      <c r="X37" s="206"/>
      <c r="Y37" s="317"/>
    </row>
    <row r="38" spans="1:28" s="14" customFormat="1" x14ac:dyDescent="0.2">
      <c r="A38" s="193" t="s">
        <v>97</v>
      </c>
      <c r="B38" s="193" t="s">
        <v>70</v>
      </c>
      <c r="C38" s="193"/>
      <c r="D38" s="70">
        <v>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  <c r="O38" s="70">
        <v>0</v>
      </c>
      <c r="P38" s="70">
        <v>0</v>
      </c>
      <c r="Q38" s="198">
        <v>0</v>
      </c>
      <c r="R38" s="198">
        <v>0</v>
      </c>
      <c r="S38" s="198">
        <f t="shared" si="2"/>
        <v>0</v>
      </c>
      <c r="T38" s="70">
        <f t="shared" si="3"/>
        <v>0</v>
      </c>
      <c r="U38" s="70">
        <v>54000</v>
      </c>
      <c r="V38" s="199">
        <f t="shared" si="4"/>
        <v>0</v>
      </c>
      <c r="W38" s="199">
        <f t="shared" si="5"/>
        <v>0</v>
      </c>
      <c r="X38" s="206"/>
      <c r="Y38" s="317"/>
    </row>
    <row r="39" spans="1:28" s="14" customFormat="1" x14ac:dyDescent="0.2">
      <c r="A39" s="193" t="s">
        <v>75</v>
      </c>
      <c r="B39" s="193" t="s">
        <v>76</v>
      </c>
      <c r="C39" s="193"/>
      <c r="D39" s="70">
        <v>0</v>
      </c>
      <c r="E39" s="70">
        <v>0</v>
      </c>
      <c r="F39" s="70">
        <v>0</v>
      </c>
      <c r="G39" s="70">
        <v>11519</v>
      </c>
      <c r="H39" s="70">
        <v>26303.51</v>
      </c>
      <c r="I39" s="70">
        <v>0</v>
      </c>
      <c r="J39" s="70">
        <v>19340</v>
      </c>
      <c r="K39" s="70">
        <v>30922.57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198">
        <v>0</v>
      </c>
      <c r="R39" s="198">
        <v>0</v>
      </c>
      <c r="S39" s="198">
        <f t="shared" si="2"/>
        <v>88085.079999999987</v>
      </c>
      <c r="T39" s="70">
        <f t="shared" si="3"/>
        <v>88085.079999999987</v>
      </c>
      <c r="U39" s="70">
        <v>320000</v>
      </c>
      <c r="V39" s="199">
        <f t="shared" si="4"/>
        <v>0.27526587499999994</v>
      </c>
      <c r="W39" s="199">
        <f t="shared" si="5"/>
        <v>0.27526587499999994</v>
      </c>
      <c r="X39" s="206"/>
      <c r="Y39" s="317"/>
    </row>
    <row r="40" spans="1:28" s="14" customFormat="1" x14ac:dyDescent="0.2">
      <c r="A40" s="193" t="s">
        <v>40</v>
      </c>
      <c r="B40" s="193" t="s">
        <v>146</v>
      </c>
      <c r="C40" s="193"/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198">
        <v>0</v>
      </c>
      <c r="R40" s="198">
        <v>0</v>
      </c>
      <c r="S40" s="198">
        <f t="shared" si="2"/>
        <v>0</v>
      </c>
      <c r="T40" s="70">
        <f t="shared" si="3"/>
        <v>0</v>
      </c>
      <c r="U40" s="70">
        <v>0</v>
      </c>
      <c r="V40" s="199">
        <f t="shared" si="4"/>
        <v>0</v>
      </c>
      <c r="W40" s="199">
        <f t="shared" si="5"/>
        <v>0</v>
      </c>
      <c r="X40" s="206"/>
      <c r="Y40" s="317"/>
    </row>
    <row r="41" spans="1:28" s="14" customFormat="1" x14ac:dyDescent="0.2">
      <c r="A41" s="320" t="s">
        <v>145</v>
      </c>
      <c r="B41" s="320" t="s">
        <v>147</v>
      </c>
      <c r="C41" s="193"/>
      <c r="D41" s="70">
        <v>0</v>
      </c>
      <c r="E41" s="70">
        <v>0</v>
      </c>
      <c r="F41" s="198">
        <v>0</v>
      </c>
      <c r="G41" s="198">
        <v>0</v>
      </c>
      <c r="H41" s="198">
        <v>0</v>
      </c>
      <c r="I41" s="198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198">
        <v>0</v>
      </c>
      <c r="R41" s="198">
        <v>0</v>
      </c>
      <c r="S41" s="198">
        <f t="shared" ref="S41" si="26">SUMIF($D$6:$R$6,$X$2,D41:R41)</f>
        <v>0</v>
      </c>
      <c r="T41" s="70">
        <f t="shared" ref="T41" si="27">SUM(D41:R41)</f>
        <v>0</v>
      </c>
      <c r="U41" s="70">
        <v>0</v>
      </c>
      <c r="V41" s="199">
        <f t="shared" ref="V41" si="28">IF(U41=0,0,SUMIF($D$6:$R$6,$X$2,D41:R41)/U41)</f>
        <v>0</v>
      </c>
      <c r="W41" s="199">
        <f t="shared" ref="W41" si="29">IF(U41=0,0,T41/U41)</f>
        <v>0</v>
      </c>
      <c r="X41" s="206"/>
      <c r="Y41" s="317"/>
    </row>
    <row r="42" spans="1:28" s="14" customFormat="1" x14ac:dyDescent="0.2">
      <c r="A42" s="137" t="s">
        <v>77</v>
      </c>
      <c r="B42" s="137" t="s">
        <v>78</v>
      </c>
      <c r="C42" s="193"/>
      <c r="D42" s="70">
        <v>0</v>
      </c>
      <c r="E42" s="70">
        <v>0</v>
      </c>
      <c r="F42" s="198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198">
        <v>0</v>
      </c>
      <c r="R42" s="198">
        <v>0</v>
      </c>
      <c r="S42" s="198">
        <f t="shared" si="2"/>
        <v>0</v>
      </c>
      <c r="T42" s="70">
        <f t="shared" si="3"/>
        <v>0</v>
      </c>
      <c r="U42" s="70">
        <v>0</v>
      </c>
      <c r="V42" s="199">
        <f t="shared" si="4"/>
        <v>0</v>
      </c>
      <c r="W42" s="199">
        <f t="shared" si="5"/>
        <v>0</v>
      </c>
      <c r="X42" s="206"/>
      <c r="Y42" s="317"/>
    </row>
    <row r="43" spans="1:28" s="14" customFormat="1" x14ac:dyDescent="0.2">
      <c r="A43" s="137" t="s">
        <v>148</v>
      </c>
      <c r="B43" s="137" t="s">
        <v>149</v>
      </c>
      <c r="C43" s="193"/>
      <c r="D43" s="70">
        <v>0</v>
      </c>
      <c r="E43" s="70">
        <v>0</v>
      </c>
      <c r="F43" s="198">
        <v>229.45</v>
      </c>
      <c r="G43" s="198">
        <v>66.430000000000007</v>
      </c>
      <c r="H43" s="198">
        <v>0</v>
      </c>
      <c r="I43" s="198">
        <v>0</v>
      </c>
      <c r="J43" s="198">
        <v>21199</v>
      </c>
      <c r="K43" s="198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198">
        <v>0</v>
      </c>
      <c r="R43" s="198">
        <v>0</v>
      </c>
      <c r="S43" s="198">
        <f t="shared" ref="S43:S46" si="30">SUMIF($D$6:$R$6,$X$2,D43:R43)</f>
        <v>21494.880000000001</v>
      </c>
      <c r="T43" s="70">
        <f t="shared" ref="T43:T46" si="31">SUM(D43:R43)</f>
        <v>21494.880000000001</v>
      </c>
      <c r="U43" s="198">
        <v>32268</v>
      </c>
      <c r="V43" s="199">
        <f t="shared" ref="V43:V46" si="32">IF(U43=0,0,SUMIF($D$6:$R$6,$X$2,D43:R43)/U43)</f>
        <v>0.66613611007809603</v>
      </c>
      <c r="W43" s="199">
        <f t="shared" ref="W43:W46" si="33">IF(U43=0,0,T43/U43)</f>
        <v>0.66613611007809603</v>
      </c>
      <c r="X43" s="206"/>
      <c r="Y43" s="317"/>
    </row>
    <row r="44" spans="1:28" s="14" customFormat="1" x14ac:dyDescent="0.2">
      <c r="A44" s="320" t="s">
        <v>79</v>
      </c>
      <c r="B44" s="320" t="s">
        <v>80</v>
      </c>
      <c r="C44" s="193"/>
      <c r="D44" s="70">
        <v>0</v>
      </c>
      <c r="E44" s="70">
        <v>0</v>
      </c>
      <c r="F44" s="70">
        <v>3788.45</v>
      </c>
      <c r="G44" s="70">
        <v>4859.43</v>
      </c>
      <c r="H44" s="70">
        <v>2679.71</v>
      </c>
      <c r="I44" s="70">
        <v>2952.25</v>
      </c>
      <c r="J44" s="70">
        <v>2564.6999999999998</v>
      </c>
      <c r="K44" s="70">
        <v>2228.79</v>
      </c>
      <c r="L44" s="70">
        <v>0</v>
      </c>
      <c r="M44" s="70">
        <v>0</v>
      </c>
      <c r="N44" s="70">
        <v>0</v>
      </c>
      <c r="O44" s="70">
        <v>0</v>
      </c>
      <c r="P44" s="70">
        <v>0</v>
      </c>
      <c r="Q44" s="198">
        <v>0</v>
      </c>
      <c r="R44" s="198">
        <v>0</v>
      </c>
      <c r="S44" s="198">
        <f t="shared" si="30"/>
        <v>19073.330000000002</v>
      </c>
      <c r="T44" s="70">
        <f t="shared" si="31"/>
        <v>19073.330000000002</v>
      </c>
      <c r="U44" s="198">
        <v>42000</v>
      </c>
      <c r="V44" s="199">
        <f t="shared" si="32"/>
        <v>0.45412690476190481</v>
      </c>
      <c r="W44" s="199">
        <f t="shared" si="33"/>
        <v>0.45412690476190481</v>
      </c>
      <c r="X44" s="206"/>
      <c r="Y44" s="317"/>
    </row>
    <row r="45" spans="1:28" s="14" customFormat="1" x14ac:dyDescent="0.2">
      <c r="A45" s="320" t="s">
        <v>187</v>
      </c>
      <c r="B45" s="320" t="s">
        <v>188</v>
      </c>
      <c r="C45" s="193"/>
      <c r="D45" s="198">
        <v>0</v>
      </c>
      <c r="E45" s="198">
        <v>0</v>
      </c>
      <c r="F45" s="198">
        <v>0</v>
      </c>
      <c r="G45" s="198">
        <v>0</v>
      </c>
      <c r="H45" s="198">
        <v>0</v>
      </c>
      <c r="I45" s="198">
        <v>0</v>
      </c>
      <c r="J45" s="198">
        <v>0</v>
      </c>
      <c r="K45" s="198">
        <v>0</v>
      </c>
      <c r="L45" s="70">
        <v>0</v>
      </c>
      <c r="M45" s="198">
        <v>0</v>
      </c>
      <c r="N45" s="70">
        <v>0</v>
      </c>
      <c r="O45" s="198">
        <v>0</v>
      </c>
      <c r="P45" s="198">
        <v>0</v>
      </c>
      <c r="Q45" s="198">
        <v>0</v>
      </c>
      <c r="R45" s="198">
        <v>0</v>
      </c>
      <c r="S45" s="198">
        <f t="shared" ref="S45" si="34">SUMIF($D$6:$R$6,$X$2,D45:R45)</f>
        <v>0</v>
      </c>
      <c r="T45" s="70">
        <f t="shared" ref="T45" si="35">SUM(D45:R45)</f>
        <v>0</v>
      </c>
      <c r="U45" s="198">
        <v>0</v>
      </c>
      <c r="V45" s="199">
        <f t="shared" ref="V45" si="36">IF(U45=0,0,SUMIF($D$6:$R$6,$X$2,D45:R45)/U45)</f>
        <v>0</v>
      </c>
      <c r="W45" s="199">
        <f t="shared" ref="W45" si="37">IF(U45=0,0,T45/U45)</f>
        <v>0</v>
      </c>
      <c r="X45" s="206"/>
      <c r="Y45" s="317"/>
    </row>
    <row r="46" spans="1:28" s="14" customFormat="1" x14ac:dyDescent="0.2">
      <c r="A46" s="57" t="s">
        <v>112</v>
      </c>
      <c r="B46" s="57" t="s">
        <v>113</v>
      </c>
      <c r="C46" s="193"/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70">
        <v>0</v>
      </c>
      <c r="M46" s="198">
        <v>0</v>
      </c>
      <c r="N46" s="198">
        <v>0</v>
      </c>
      <c r="O46" s="198">
        <v>0</v>
      </c>
      <c r="P46" s="198">
        <v>0</v>
      </c>
      <c r="Q46" s="198">
        <v>0</v>
      </c>
      <c r="R46" s="198">
        <v>0</v>
      </c>
      <c r="S46" s="198">
        <f t="shared" si="30"/>
        <v>0</v>
      </c>
      <c r="T46" s="70">
        <f t="shared" si="31"/>
        <v>0</v>
      </c>
      <c r="U46" s="198">
        <v>5000</v>
      </c>
      <c r="V46" s="199">
        <f t="shared" si="32"/>
        <v>0</v>
      </c>
      <c r="W46" s="199">
        <f t="shared" si="33"/>
        <v>0</v>
      </c>
      <c r="X46" s="206"/>
      <c r="Y46" s="317"/>
    </row>
    <row r="47" spans="1:28" x14ac:dyDescent="0.2">
      <c r="A47" s="193"/>
      <c r="B47" s="193"/>
      <c r="C47" s="193"/>
      <c r="D47" s="198"/>
      <c r="E47" s="198"/>
      <c r="F47" s="164"/>
      <c r="G47" s="207"/>
      <c r="H47" s="207"/>
      <c r="I47" s="207"/>
      <c r="J47" s="198"/>
      <c r="K47" s="207"/>
      <c r="L47" s="207"/>
      <c r="M47" s="315"/>
      <c r="N47" s="207"/>
      <c r="O47" s="207"/>
      <c r="P47" s="198"/>
      <c r="Q47" s="198"/>
      <c r="R47" s="198"/>
      <c r="S47" s="198"/>
      <c r="T47" s="70"/>
      <c r="U47" s="198"/>
      <c r="V47" s="199"/>
      <c r="W47" s="199"/>
      <c r="X47" s="208"/>
      <c r="Y47" s="14"/>
      <c r="Z47" s="14"/>
      <c r="AA47" s="14"/>
      <c r="AB47" s="14"/>
    </row>
    <row r="48" spans="1:28" ht="15.75" x14ac:dyDescent="0.25">
      <c r="A48" s="200" t="s">
        <v>81</v>
      </c>
      <c r="B48" s="200"/>
      <c r="C48" s="200"/>
      <c r="D48" s="201">
        <f t="shared" ref="D48:U48" si="38">SUM(D19:D47)</f>
        <v>90180.96</v>
      </c>
      <c r="E48" s="201">
        <f t="shared" si="38"/>
        <v>147170.5</v>
      </c>
      <c r="F48" s="201">
        <f t="shared" si="38"/>
        <v>345536.19000000006</v>
      </c>
      <c r="G48" s="201">
        <f t="shared" si="38"/>
        <v>262638.3</v>
      </c>
      <c r="H48" s="201">
        <f t="shared" si="38"/>
        <v>159923.76999999999</v>
      </c>
      <c r="I48" s="201">
        <f t="shared" si="38"/>
        <v>160062.38000000003</v>
      </c>
      <c r="J48" s="201">
        <f t="shared" si="38"/>
        <v>209056.77999999997</v>
      </c>
      <c r="K48" s="201">
        <f t="shared" si="38"/>
        <v>187880.35000000003</v>
      </c>
      <c r="L48" s="201">
        <f t="shared" si="38"/>
        <v>152376</v>
      </c>
      <c r="M48" s="201">
        <f t="shared" si="38"/>
        <v>152376</v>
      </c>
      <c r="N48" s="201">
        <f t="shared" si="38"/>
        <v>231940</v>
      </c>
      <c r="O48" s="201">
        <f t="shared" si="38"/>
        <v>152376</v>
      </c>
      <c r="P48" s="201">
        <f t="shared" si="38"/>
        <v>77367</v>
      </c>
      <c r="Q48" s="201">
        <f t="shared" si="38"/>
        <v>0</v>
      </c>
      <c r="R48" s="201">
        <f t="shared" si="38"/>
        <v>0</v>
      </c>
      <c r="S48" s="201">
        <f t="shared" si="38"/>
        <v>1562449.2299999995</v>
      </c>
      <c r="T48" s="91">
        <f t="shared" si="38"/>
        <v>2328884.2299999995</v>
      </c>
      <c r="U48" s="201">
        <f t="shared" si="38"/>
        <v>2785111.0300000003</v>
      </c>
      <c r="V48" s="202">
        <f>SUMIF($D$6:$R$6,$X$2,D48:R48)/U48</f>
        <v>0.56100069734024227</v>
      </c>
      <c r="W48" s="202">
        <f>T48/U48</f>
        <v>0.83619080349554298</v>
      </c>
      <c r="X48" s="184"/>
      <c r="Y48" s="14"/>
      <c r="Z48" s="14"/>
      <c r="AA48" s="14"/>
      <c r="AB48" s="14"/>
    </row>
    <row r="49" spans="1:28" x14ac:dyDescent="0.2">
      <c r="A49" s="203"/>
      <c r="B49" s="203"/>
      <c r="C49" s="203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18"/>
      <c r="U49" s="204"/>
      <c r="V49" s="205"/>
      <c r="W49" s="205"/>
      <c r="X49" s="184"/>
      <c r="Y49" s="14"/>
      <c r="Z49" s="14"/>
      <c r="AA49" s="14"/>
      <c r="AB49" s="14"/>
    </row>
    <row r="50" spans="1:28" hidden="1" x14ac:dyDescent="0.2">
      <c r="A50" s="203"/>
      <c r="B50" s="203"/>
      <c r="C50" s="203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18"/>
      <c r="U50" s="204"/>
      <c r="V50" s="205"/>
      <c r="W50" s="205"/>
      <c r="X50" s="184"/>
      <c r="Y50" s="14"/>
      <c r="Z50" s="14"/>
      <c r="AA50" s="14"/>
      <c r="AB50" s="14"/>
    </row>
    <row r="51" spans="1:28" ht="15.75" x14ac:dyDescent="0.2">
      <c r="A51" s="200" t="s">
        <v>82</v>
      </c>
      <c r="B51" s="200"/>
      <c r="C51" s="200"/>
      <c r="D51" s="383">
        <f t="shared" ref="D51:U51" si="39">D16-D48</f>
        <v>233835.78999999998</v>
      </c>
      <c r="E51" s="383">
        <f t="shared" si="39"/>
        <v>1521022.94</v>
      </c>
      <c r="F51" s="201">
        <f t="shared" si="39"/>
        <v>-184616.44000000006</v>
      </c>
      <c r="G51" s="201">
        <f t="shared" si="39"/>
        <v>-92130.799999999988</v>
      </c>
      <c r="H51" s="201">
        <f t="shared" si="39"/>
        <v>-27107.01999999999</v>
      </c>
      <c r="I51" s="201">
        <f t="shared" si="39"/>
        <v>-18719.630000000034</v>
      </c>
      <c r="J51" s="201">
        <f t="shared" si="39"/>
        <v>-1227.0299999999697</v>
      </c>
      <c r="K51" s="201">
        <f t="shared" si="39"/>
        <v>-19190.100000000035</v>
      </c>
      <c r="L51" s="201">
        <f t="shared" si="39"/>
        <v>3624</v>
      </c>
      <c r="M51" s="201">
        <f t="shared" si="39"/>
        <v>35624</v>
      </c>
      <c r="N51" s="201">
        <f t="shared" si="39"/>
        <v>24060</v>
      </c>
      <c r="O51" s="201">
        <f t="shared" si="39"/>
        <v>16124</v>
      </c>
      <c r="P51" s="201">
        <f t="shared" si="39"/>
        <v>-177367</v>
      </c>
      <c r="Q51" s="201">
        <f t="shared" si="39"/>
        <v>-1400000</v>
      </c>
      <c r="R51" s="201">
        <f t="shared" si="39"/>
        <v>0</v>
      </c>
      <c r="S51" s="201">
        <f t="shared" si="39"/>
        <v>1411867.7100000004</v>
      </c>
      <c r="T51" s="91">
        <f t="shared" si="39"/>
        <v>-86067.289999999572</v>
      </c>
      <c r="U51" s="201">
        <f t="shared" si="39"/>
        <v>83350.969999999739</v>
      </c>
      <c r="V51" s="209"/>
      <c r="W51" s="209"/>
      <c r="X51" s="184"/>
      <c r="Y51" s="14"/>
      <c r="Z51" s="14"/>
      <c r="AA51" s="14"/>
      <c r="AB51" s="14"/>
    </row>
    <row r="52" spans="1:28" ht="15.75" x14ac:dyDescent="0.2">
      <c r="A52" s="200" t="s">
        <v>312</v>
      </c>
      <c r="B52" s="200"/>
      <c r="C52" s="200"/>
      <c r="D52" s="383"/>
      <c r="E52" s="383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91"/>
      <c r="U52" s="201"/>
      <c r="V52" s="209"/>
      <c r="W52" s="209"/>
      <c r="X52" s="184"/>
      <c r="Y52" s="14"/>
      <c r="Z52" s="14"/>
      <c r="AA52" s="14"/>
      <c r="AB52" s="14"/>
    </row>
    <row r="53" spans="1:28" ht="15.75" x14ac:dyDescent="0.2">
      <c r="A53" s="200" t="s">
        <v>83</v>
      </c>
      <c r="B53" s="200"/>
      <c r="C53" s="200"/>
      <c r="D53" s="384">
        <f>D16-D48</f>
        <v>233835.78999999998</v>
      </c>
      <c r="E53" s="384">
        <f>D53+E51</f>
        <v>1754858.73</v>
      </c>
      <c r="F53" s="210">
        <f t="shared" ref="F53:R53" si="40">E53+F51</f>
        <v>1570242.29</v>
      </c>
      <c r="G53" s="210">
        <f t="shared" si="40"/>
        <v>1478111.49</v>
      </c>
      <c r="H53" s="210">
        <f>G53+H51-H52</f>
        <v>1451004.47</v>
      </c>
      <c r="I53" s="210">
        <f>H53+I51-I52</f>
        <v>1432284.8399999999</v>
      </c>
      <c r="J53" s="210">
        <f>I53+J51-J52</f>
        <v>1431057.8099999998</v>
      </c>
      <c r="K53" s="210">
        <f t="shared" si="40"/>
        <v>1411867.7099999997</v>
      </c>
      <c r="L53" s="210">
        <f t="shared" si="40"/>
        <v>1415491.7099999997</v>
      </c>
      <c r="M53" s="210">
        <f t="shared" si="40"/>
        <v>1451115.7099999997</v>
      </c>
      <c r="N53" s="210">
        <f t="shared" si="40"/>
        <v>1475175.7099999997</v>
      </c>
      <c r="O53" s="210">
        <f t="shared" si="40"/>
        <v>1491299.7099999997</v>
      </c>
      <c r="P53" s="210">
        <f t="shared" si="40"/>
        <v>1313932.7099999997</v>
      </c>
      <c r="Q53" s="210">
        <f t="shared" si="40"/>
        <v>-86067.29000000027</v>
      </c>
      <c r="R53" s="210">
        <f t="shared" si="40"/>
        <v>-86067.29000000027</v>
      </c>
      <c r="S53" s="211"/>
      <c r="T53" s="211"/>
      <c r="U53" s="210">
        <f>U16-U48</f>
        <v>83350.969999999739</v>
      </c>
      <c r="V53" s="212" t="s">
        <v>10</v>
      </c>
      <c r="W53" s="212" t="s">
        <v>10</v>
      </c>
      <c r="X53" s="184"/>
      <c r="Y53" s="14"/>
      <c r="Z53" s="14"/>
      <c r="AA53" s="14"/>
      <c r="AB53" s="14"/>
    </row>
    <row r="54" spans="1:28" ht="30.75" customHeight="1" x14ac:dyDescent="0.25">
      <c r="A54" s="213" t="s">
        <v>117</v>
      </c>
      <c r="B54" s="214"/>
      <c r="C54" s="214"/>
      <c r="D54" s="169"/>
      <c r="E54" s="169"/>
      <c r="F54" s="169"/>
      <c r="G54" s="169"/>
      <c r="H54" s="169"/>
      <c r="I54" s="169"/>
      <c r="J54" s="169"/>
      <c r="K54" s="169"/>
      <c r="L54" s="169"/>
      <c r="O54" s="169"/>
      <c r="P54" s="169"/>
      <c r="X54" s="184"/>
      <c r="Y54" s="106"/>
      <c r="Z54" s="107"/>
      <c r="AA54" s="14"/>
      <c r="AB54" s="14"/>
    </row>
    <row r="55" spans="1:28" ht="36" x14ac:dyDescent="0.25">
      <c r="A55" s="213"/>
      <c r="B55" s="214"/>
      <c r="C55" s="214"/>
      <c r="D55" s="169"/>
      <c r="E55" s="169"/>
      <c r="F55" s="169"/>
      <c r="G55" s="169"/>
      <c r="H55" s="169"/>
      <c r="I55" s="169"/>
      <c r="J55" s="169"/>
      <c r="K55" s="169"/>
      <c r="M55" s="292"/>
      <c r="N55" s="164"/>
      <c r="O55" s="166"/>
      <c r="P55" s="338" t="s">
        <v>84</v>
      </c>
      <c r="Q55" s="347"/>
      <c r="R55" s="347"/>
      <c r="S55" s="348"/>
      <c r="T55" s="349" t="s">
        <v>85</v>
      </c>
      <c r="U55" s="348"/>
      <c r="V55" s="362" t="s">
        <v>302</v>
      </c>
      <c r="W55" s="350" t="s">
        <v>303</v>
      </c>
      <c r="X55" s="184"/>
      <c r="Y55" s="106"/>
      <c r="Z55" s="107"/>
      <c r="AA55" s="14"/>
      <c r="AB55" s="14"/>
    </row>
    <row r="56" spans="1:28" ht="18" x14ac:dyDescent="0.25">
      <c r="A56" s="298" t="s">
        <v>240</v>
      </c>
      <c r="B56" s="75"/>
      <c r="C56" s="214"/>
      <c r="D56" s="169"/>
      <c r="E56" s="169"/>
      <c r="F56" s="169"/>
      <c r="G56" s="169"/>
      <c r="H56" s="169"/>
      <c r="I56" s="169"/>
      <c r="J56" s="169"/>
      <c r="K56" s="169"/>
      <c r="L56" s="338" t="s">
        <v>84</v>
      </c>
      <c r="M56" s="339" t="s">
        <v>166</v>
      </c>
      <c r="N56" s="340"/>
      <c r="O56" s="166"/>
      <c r="P56" s="341" t="s">
        <v>265</v>
      </c>
      <c r="Q56" s="175" t="s">
        <v>129</v>
      </c>
      <c r="R56" s="342"/>
      <c r="S56" s="343"/>
      <c r="T56" s="78" t="s">
        <v>311</v>
      </c>
      <c r="U56" s="343"/>
      <c r="V56" s="175">
        <v>1</v>
      </c>
      <c r="W56" s="344">
        <v>1</v>
      </c>
      <c r="X56" s="184"/>
      <c r="Y56" s="106"/>
      <c r="Z56" s="107"/>
      <c r="AA56" s="14"/>
      <c r="AB56" s="14"/>
    </row>
    <row r="57" spans="1:28" ht="18" x14ac:dyDescent="0.25">
      <c r="A57" s="171">
        <v>234</v>
      </c>
      <c r="B57" s="75" t="s">
        <v>284</v>
      </c>
      <c r="C57" s="214"/>
      <c r="D57" s="169"/>
      <c r="E57" s="169"/>
      <c r="F57" s="169"/>
      <c r="G57" s="169"/>
      <c r="H57" s="169"/>
      <c r="I57" s="169"/>
      <c r="J57" s="169"/>
      <c r="K57" s="169"/>
      <c r="L57" s="331" t="s">
        <v>261</v>
      </c>
      <c r="M57" s="163" t="s">
        <v>304</v>
      </c>
      <c r="N57" s="238"/>
      <c r="O57" s="170"/>
      <c r="P57" s="341" t="s">
        <v>267</v>
      </c>
      <c r="Q57" s="176" t="s">
        <v>129</v>
      </c>
      <c r="R57" s="342"/>
      <c r="S57" s="343"/>
      <c r="T57" s="174" t="s">
        <v>153</v>
      </c>
      <c r="U57" s="343"/>
      <c r="V57" s="175">
        <v>1</v>
      </c>
      <c r="W57" s="344">
        <v>1</v>
      </c>
      <c r="X57" s="184"/>
      <c r="Y57" s="106"/>
      <c r="Z57" s="107"/>
      <c r="AA57" s="14"/>
      <c r="AB57" s="14"/>
    </row>
    <row r="58" spans="1:28" ht="18" x14ac:dyDescent="0.25">
      <c r="C58" s="214"/>
      <c r="D58" s="169"/>
      <c r="E58" s="169"/>
      <c r="F58" s="169"/>
      <c r="G58" s="169"/>
      <c r="H58" s="169"/>
      <c r="I58" s="169"/>
      <c r="J58" s="169"/>
      <c r="K58" s="169"/>
      <c r="L58" s="331" t="s">
        <v>262</v>
      </c>
      <c r="M58" s="163" t="s">
        <v>304</v>
      </c>
      <c r="N58" s="239"/>
      <c r="O58" s="170"/>
      <c r="P58" s="341" t="s">
        <v>263</v>
      </c>
      <c r="Q58" s="176" t="s">
        <v>129</v>
      </c>
      <c r="R58" s="342"/>
      <c r="S58" s="343"/>
      <c r="T58" s="163" t="s">
        <v>154</v>
      </c>
      <c r="U58" s="343"/>
      <c r="V58" s="175">
        <v>1</v>
      </c>
      <c r="W58" s="344">
        <v>1</v>
      </c>
      <c r="X58" s="184"/>
      <c r="Y58" s="106"/>
      <c r="Z58" s="107"/>
      <c r="AA58" s="14"/>
      <c r="AB58" s="14"/>
    </row>
    <row r="59" spans="1:28" ht="18" x14ac:dyDescent="0.25">
      <c r="A59" s="213" t="s">
        <v>43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81"/>
      <c r="L59" s="331" t="s">
        <v>257</v>
      </c>
      <c r="M59" s="78" t="s">
        <v>323</v>
      </c>
      <c r="N59" s="366"/>
      <c r="O59" s="174"/>
      <c r="P59" s="341" t="s">
        <v>266</v>
      </c>
      <c r="Q59" s="176" t="s">
        <v>129</v>
      </c>
      <c r="R59" s="342"/>
      <c r="S59" s="343"/>
      <c r="T59" s="163" t="s">
        <v>287</v>
      </c>
      <c r="U59" s="343"/>
      <c r="V59" s="175">
        <v>1</v>
      </c>
      <c r="W59" s="344">
        <v>1</v>
      </c>
      <c r="X59" s="184"/>
      <c r="Y59" s="14"/>
      <c r="Z59" s="14"/>
      <c r="AA59" s="14"/>
      <c r="AB59" s="14"/>
    </row>
    <row r="60" spans="1:28" s="14" customFormat="1" ht="18" x14ac:dyDescent="0.25">
      <c r="A60" s="171">
        <v>101</v>
      </c>
      <c r="B60" s="168" t="s">
        <v>357</v>
      </c>
      <c r="C60" s="77"/>
      <c r="D60" s="77"/>
      <c r="E60" s="77"/>
      <c r="F60" s="77"/>
      <c r="G60" s="77"/>
      <c r="H60" s="77"/>
      <c r="I60" s="77"/>
      <c r="J60" s="77"/>
      <c r="K60" s="181"/>
      <c r="L60" s="331" t="s">
        <v>260</v>
      </c>
      <c r="M60" s="78" t="s">
        <v>304</v>
      </c>
      <c r="N60" s="366"/>
      <c r="O60" s="174"/>
      <c r="P60" s="345" t="s">
        <v>264</v>
      </c>
      <c r="Q60" s="176" t="s">
        <v>156</v>
      </c>
      <c r="R60" s="342"/>
      <c r="S60" s="343"/>
      <c r="T60" s="174" t="s">
        <v>155</v>
      </c>
      <c r="U60" s="343"/>
      <c r="V60" s="175">
        <v>1</v>
      </c>
      <c r="W60" s="344">
        <v>1</v>
      </c>
      <c r="X60" s="184"/>
    </row>
    <row r="61" spans="1:28" ht="18" x14ac:dyDescent="0.25">
      <c r="A61" s="171">
        <v>202</v>
      </c>
      <c r="B61" s="75" t="s">
        <v>282</v>
      </c>
      <c r="C61" s="77"/>
      <c r="D61" s="77"/>
      <c r="E61" s="77"/>
      <c r="F61" s="77"/>
      <c r="G61" s="77"/>
      <c r="H61" s="77"/>
      <c r="I61" s="77"/>
      <c r="J61" s="77"/>
      <c r="K61" s="324"/>
      <c r="L61" s="331" t="s">
        <v>258</v>
      </c>
      <c r="M61" s="78" t="s">
        <v>165</v>
      </c>
      <c r="N61" s="366"/>
      <c r="O61" s="174"/>
      <c r="P61" s="346" t="s">
        <v>268</v>
      </c>
      <c r="Q61" s="176" t="s">
        <v>236</v>
      </c>
      <c r="R61" s="342"/>
      <c r="S61" s="343"/>
      <c r="T61" s="174" t="s">
        <v>242</v>
      </c>
      <c r="U61" s="343"/>
      <c r="V61" s="175">
        <v>1</v>
      </c>
      <c r="W61" s="344">
        <v>1</v>
      </c>
      <c r="X61" s="184"/>
      <c r="Y61" s="14"/>
      <c r="Z61" s="14"/>
      <c r="AA61" s="14"/>
      <c r="AB61" s="14"/>
    </row>
    <row r="62" spans="1:28" ht="18" x14ac:dyDescent="0.25">
      <c r="A62" s="171">
        <v>301</v>
      </c>
      <c r="B62" s="75" t="s">
        <v>340</v>
      </c>
      <c r="C62" s="77"/>
      <c r="D62" s="77"/>
      <c r="E62" s="77"/>
      <c r="F62" s="77"/>
      <c r="G62" s="77"/>
      <c r="H62" s="77"/>
      <c r="I62" s="77"/>
      <c r="J62" s="77"/>
      <c r="K62" s="324"/>
      <c r="L62" s="331" t="s">
        <v>256</v>
      </c>
      <c r="M62" s="78" t="s">
        <v>291</v>
      </c>
      <c r="N62" s="366"/>
      <c r="O62" s="217"/>
      <c r="P62" s="346" t="s">
        <v>313</v>
      </c>
      <c r="Q62" s="176" t="s">
        <v>300</v>
      </c>
      <c r="R62" s="342"/>
      <c r="S62" s="343"/>
      <c r="T62" s="368" t="s">
        <v>322</v>
      </c>
      <c r="U62" s="369"/>
      <c r="V62" s="175">
        <v>1</v>
      </c>
      <c r="W62" s="344">
        <v>1</v>
      </c>
      <c r="X62" s="184"/>
      <c r="Y62" s="14"/>
      <c r="Z62" s="14"/>
      <c r="AA62" s="14"/>
      <c r="AB62" s="14"/>
    </row>
    <row r="63" spans="1:28" ht="18" x14ac:dyDescent="0.25">
      <c r="A63" s="171">
        <v>401</v>
      </c>
      <c r="B63" s="77" t="s">
        <v>320</v>
      </c>
      <c r="C63" s="34"/>
      <c r="D63" s="77"/>
      <c r="E63" s="77"/>
      <c r="F63" s="77"/>
      <c r="G63" s="77"/>
      <c r="H63" s="77"/>
      <c r="I63" s="77"/>
      <c r="J63" s="77"/>
      <c r="K63" s="323"/>
      <c r="L63" s="331" t="s">
        <v>259</v>
      </c>
      <c r="M63" s="78" t="s">
        <v>255</v>
      </c>
      <c r="N63" s="367"/>
      <c r="O63" s="181"/>
      <c r="P63" s="331" t="s">
        <v>270</v>
      </c>
      <c r="Q63" s="175" t="s">
        <v>157</v>
      </c>
      <c r="R63" s="342"/>
      <c r="S63" s="343"/>
      <c r="T63" s="163" t="s">
        <v>310</v>
      </c>
      <c r="U63" s="343"/>
      <c r="V63" s="175">
        <v>1</v>
      </c>
      <c r="W63" s="344">
        <v>1</v>
      </c>
      <c r="X63" s="184"/>
      <c r="Y63" s="14"/>
      <c r="Z63" s="14"/>
      <c r="AA63" s="14"/>
      <c r="AB63" s="14"/>
    </row>
    <row r="64" spans="1:28" ht="18" x14ac:dyDescent="0.25">
      <c r="A64" s="171">
        <v>402</v>
      </c>
      <c r="B64" s="77" t="s">
        <v>334</v>
      </c>
      <c r="C64" s="77"/>
      <c r="D64" s="34"/>
      <c r="E64" s="34"/>
      <c r="F64" s="34"/>
      <c r="G64" s="34"/>
      <c r="H64" s="34"/>
      <c r="I64" s="34"/>
      <c r="J64" s="34"/>
      <c r="K64" s="323"/>
      <c r="L64" s="415">
        <v>14000</v>
      </c>
      <c r="M64" s="78" t="s">
        <v>362</v>
      </c>
      <c r="N64" s="367"/>
      <c r="O64" s="181"/>
      <c r="P64" s="331" t="s">
        <v>271</v>
      </c>
      <c r="Q64" s="175" t="s">
        <v>157</v>
      </c>
      <c r="R64" s="342"/>
      <c r="S64" s="343"/>
      <c r="T64" s="163" t="s">
        <v>338</v>
      </c>
      <c r="U64" s="343"/>
      <c r="V64" s="175">
        <v>1</v>
      </c>
      <c r="W64" s="344">
        <v>1</v>
      </c>
      <c r="X64" s="184"/>
      <c r="Y64" s="14"/>
      <c r="Z64" s="14"/>
      <c r="AA64" s="14"/>
      <c r="AB64" s="14"/>
    </row>
    <row r="65" spans="1:28" ht="18" x14ac:dyDescent="0.25">
      <c r="A65" s="171">
        <v>405</v>
      </c>
      <c r="B65" s="77" t="s">
        <v>217</v>
      </c>
      <c r="C65" s="34"/>
      <c r="D65" s="77"/>
      <c r="E65" s="77"/>
      <c r="F65" s="77"/>
      <c r="G65" s="77"/>
      <c r="H65" s="77"/>
      <c r="I65" s="77"/>
      <c r="J65" s="77"/>
      <c r="K65" s="34"/>
      <c r="L65" s="415" t="s">
        <v>290</v>
      </c>
      <c r="M65" s="78" t="s">
        <v>245</v>
      </c>
      <c r="N65" s="367"/>
      <c r="O65" s="164"/>
      <c r="P65" s="331" t="s">
        <v>272</v>
      </c>
      <c r="Q65" s="175" t="s">
        <v>157</v>
      </c>
      <c r="R65" s="342"/>
      <c r="S65" s="343"/>
      <c r="T65" s="163" t="s">
        <v>337</v>
      </c>
      <c r="U65" s="343"/>
      <c r="V65" s="175">
        <v>1</v>
      </c>
      <c r="W65" s="344">
        <v>1</v>
      </c>
      <c r="X65" s="184"/>
      <c r="Y65" s="14"/>
      <c r="Z65" s="14"/>
      <c r="AA65" s="14"/>
      <c r="AB65" s="14"/>
    </row>
    <row r="66" spans="1:28" ht="18" x14ac:dyDescent="0.25">
      <c r="A66" s="171">
        <v>406</v>
      </c>
      <c r="B66" s="77" t="s">
        <v>289</v>
      </c>
      <c r="C66" s="34"/>
      <c r="D66" s="34"/>
      <c r="E66" s="34"/>
      <c r="F66" s="34"/>
      <c r="G66" s="34"/>
      <c r="H66" s="34"/>
      <c r="I66" s="34"/>
      <c r="J66" s="34"/>
      <c r="K66" s="323"/>
      <c r="L66" s="415">
        <v>14000</v>
      </c>
      <c r="M66" s="78" t="s">
        <v>364</v>
      </c>
      <c r="N66" s="366"/>
      <c r="O66" s="164"/>
      <c r="P66" s="331" t="s">
        <v>273</v>
      </c>
      <c r="Q66" s="175" t="s">
        <v>157</v>
      </c>
      <c r="R66" s="342"/>
      <c r="S66" s="343"/>
      <c r="T66" s="163" t="s">
        <v>159</v>
      </c>
      <c r="U66" s="343"/>
      <c r="V66" s="175">
        <v>1</v>
      </c>
      <c r="W66" s="344">
        <v>1</v>
      </c>
      <c r="X66" s="184"/>
      <c r="Y66" s="14"/>
      <c r="Z66" s="14"/>
      <c r="AA66" s="14"/>
      <c r="AB66" s="14"/>
    </row>
    <row r="67" spans="1:28" ht="18" x14ac:dyDescent="0.25">
      <c r="A67" s="171">
        <v>414</v>
      </c>
      <c r="B67" s="77" t="s">
        <v>349</v>
      </c>
      <c r="C67" s="34"/>
      <c r="D67" s="34"/>
      <c r="E67" s="34"/>
      <c r="F67" s="34"/>
      <c r="G67" s="34"/>
      <c r="H67" s="34"/>
      <c r="I67" s="34"/>
      <c r="J67" s="34"/>
      <c r="K67" s="323"/>
      <c r="L67" s="415" t="s">
        <v>279</v>
      </c>
      <c r="M67" s="78" t="s">
        <v>316</v>
      </c>
      <c r="N67" s="367"/>
      <c r="O67" s="164"/>
      <c r="P67" s="331" t="s">
        <v>269</v>
      </c>
      <c r="Q67" s="175" t="s">
        <v>251</v>
      </c>
      <c r="R67" s="342"/>
      <c r="S67" s="343"/>
      <c r="T67" s="174" t="s">
        <v>158</v>
      </c>
      <c r="U67" s="343"/>
      <c r="V67" s="175">
        <v>1</v>
      </c>
      <c r="W67" s="344">
        <v>1</v>
      </c>
      <c r="X67" s="184"/>
      <c r="Y67" s="14"/>
      <c r="Z67" s="14"/>
      <c r="AA67" s="14"/>
      <c r="AB67" s="14"/>
    </row>
    <row r="68" spans="1:28" ht="18" x14ac:dyDescent="0.25">
      <c r="A68" s="167">
        <v>416</v>
      </c>
      <c r="B68" s="371" t="s">
        <v>339</v>
      </c>
      <c r="C68" s="34"/>
      <c r="D68" s="34"/>
      <c r="E68" s="34"/>
      <c r="F68" s="34"/>
      <c r="G68" s="34"/>
      <c r="H68" s="34"/>
      <c r="I68" s="34"/>
      <c r="J68" s="34"/>
      <c r="K68" s="34"/>
      <c r="L68" s="415">
        <v>14000</v>
      </c>
      <c r="M68" s="78" t="s">
        <v>365</v>
      </c>
      <c r="N68" s="367"/>
      <c r="O68" s="164"/>
      <c r="P68" s="331" t="s">
        <v>274</v>
      </c>
      <c r="Q68" s="175" t="s">
        <v>162</v>
      </c>
      <c r="R68" s="342"/>
      <c r="S68" s="343"/>
      <c r="T68" s="163" t="s">
        <v>161</v>
      </c>
      <c r="U68" s="343"/>
      <c r="V68" s="175">
        <v>1</v>
      </c>
      <c r="W68" s="344">
        <v>1</v>
      </c>
      <c r="X68" s="184"/>
      <c r="Y68" s="14"/>
      <c r="Z68" s="14"/>
      <c r="AA68" s="14"/>
      <c r="AB68" s="14"/>
    </row>
    <row r="69" spans="1:28" ht="18.75" x14ac:dyDescent="0.3">
      <c r="A69" s="171">
        <v>434</v>
      </c>
      <c r="B69" s="77" t="s">
        <v>292</v>
      </c>
      <c r="C69" s="34"/>
      <c r="D69" s="34"/>
      <c r="E69" s="34"/>
      <c r="F69" s="34"/>
      <c r="G69" s="34"/>
      <c r="H69" s="34"/>
      <c r="I69" s="34"/>
      <c r="J69" s="34"/>
      <c r="K69" s="323"/>
      <c r="L69" s="336"/>
      <c r="M69" s="416" t="s">
        <v>280</v>
      </c>
      <c r="N69" s="240"/>
      <c r="O69" s="164"/>
      <c r="P69" s="331" t="s">
        <v>275</v>
      </c>
      <c r="Q69" s="175" t="s">
        <v>163</v>
      </c>
      <c r="R69" s="342"/>
      <c r="S69" s="343"/>
      <c r="T69" s="174" t="s">
        <v>305</v>
      </c>
      <c r="U69" s="343"/>
      <c r="V69" s="175">
        <v>1</v>
      </c>
      <c r="W69" s="344">
        <v>1</v>
      </c>
      <c r="X69" s="184"/>
      <c r="Y69" s="14"/>
      <c r="Z69" s="14"/>
      <c r="AA69" s="14"/>
      <c r="AB69" s="14"/>
    </row>
    <row r="70" spans="1:28" ht="18" x14ac:dyDescent="0.25">
      <c r="A70" s="171">
        <v>502</v>
      </c>
      <c r="B70" s="77" t="s">
        <v>335</v>
      </c>
      <c r="C70" s="34"/>
      <c r="D70" s="34"/>
      <c r="E70" s="34"/>
      <c r="F70" s="34"/>
      <c r="G70" s="34"/>
      <c r="H70" s="34"/>
      <c r="I70" s="34"/>
      <c r="J70" s="34"/>
      <c r="K70" s="34"/>
      <c r="L70" s="351"/>
      <c r="M70" s="352" t="s">
        <v>297</v>
      </c>
      <c r="N70" s="353">
        <f>COUNTA(M57:M69)</f>
        <v>13</v>
      </c>
      <c r="O70" s="164"/>
      <c r="P70" s="336" t="s">
        <v>276</v>
      </c>
      <c r="Q70" s="361" t="s">
        <v>164</v>
      </c>
      <c r="R70" s="355"/>
      <c r="S70" s="356"/>
      <c r="T70" s="358" t="s">
        <v>254</v>
      </c>
      <c r="U70" s="356"/>
      <c r="V70" s="361">
        <v>1</v>
      </c>
      <c r="W70" s="363">
        <v>1</v>
      </c>
      <c r="X70" s="184"/>
      <c r="Y70" s="14"/>
      <c r="Z70" s="14"/>
      <c r="AA70" s="14"/>
      <c r="AB70" s="14"/>
    </row>
    <row r="71" spans="1:28" ht="18" x14ac:dyDescent="0.25">
      <c r="A71" s="171">
        <v>503</v>
      </c>
      <c r="B71" s="77" t="s">
        <v>336</v>
      </c>
      <c r="C71" s="34"/>
      <c r="D71" s="34"/>
      <c r="E71" s="34"/>
      <c r="F71" s="34"/>
      <c r="G71" s="34"/>
      <c r="H71" s="34"/>
      <c r="I71" s="34"/>
      <c r="J71" s="34"/>
      <c r="K71" s="34"/>
      <c r="L71" s="164"/>
      <c r="M71" s="164"/>
      <c r="N71" s="164"/>
      <c r="O71" s="164"/>
      <c r="P71" s="336"/>
      <c r="Q71" s="357"/>
      <c r="R71" s="357"/>
      <c r="S71" s="358"/>
      <c r="T71" s="358"/>
      <c r="U71" s="359" t="s">
        <v>301</v>
      </c>
      <c r="V71" s="360">
        <f>SUM(V56:V70)</f>
        <v>15</v>
      </c>
      <c r="W71" s="364">
        <f>SUM(W56:W70)</f>
        <v>15</v>
      </c>
      <c r="X71" s="184"/>
      <c r="Y71" s="14"/>
      <c r="Z71" s="14"/>
      <c r="AA71" s="14"/>
      <c r="AB71" s="14"/>
    </row>
    <row r="72" spans="1:28" ht="18" x14ac:dyDescent="0.25">
      <c r="A72" s="171">
        <v>510</v>
      </c>
      <c r="B72" s="77" t="s">
        <v>351</v>
      </c>
      <c r="C72" s="34"/>
      <c r="D72" s="34"/>
      <c r="E72" s="34"/>
      <c r="F72" s="34"/>
      <c r="G72" s="34"/>
      <c r="H72" s="34"/>
      <c r="I72" s="34"/>
      <c r="J72" s="34"/>
      <c r="K72" s="323"/>
      <c r="L72" s="168"/>
      <c r="M72" s="164"/>
      <c r="N72" s="164"/>
      <c r="O72" s="164"/>
      <c r="P72" s="164"/>
      <c r="Q72" s="164"/>
      <c r="R72" s="164"/>
      <c r="S72" s="164"/>
      <c r="W72" s="223"/>
      <c r="X72" s="184"/>
      <c r="Y72" s="14"/>
      <c r="Z72" s="14"/>
      <c r="AA72" s="14"/>
      <c r="AB72" s="14"/>
    </row>
    <row r="73" spans="1:28" ht="18" x14ac:dyDescent="0.25">
      <c r="A73" s="171">
        <v>602</v>
      </c>
      <c r="B73" s="168" t="s">
        <v>218</v>
      </c>
      <c r="C73" s="34"/>
      <c r="D73" s="34"/>
      <c r="E73" s="34"/>
      <c r="F73" s="34"/>
      <c r="G73" s="34"/>
      <c r="H73" s="34"/>
      <c r="I73" s="34"/>
      <c r="J73" s="34"/>
      <c r="K73" s="34"/>
      <c r="L73" s="164"/>
      <c r="M73" s="164"/>
      <c r="N73" s="164"/>
      <c r="O73" s="164"/>
      <c r="P73" s="164"/>
      <c r="Q73" s="164"/>
      <c r="R73" s="164"/>
      <c r="S73" s="164"/>
      <c r="W73" s="223"/>
      <c r="X73" s="184"/>
      <c r="Y73" s="14"/>
      <c r="Z73" s="14"/>
      <c r="AA73" s="14"/>
      <c r="AB73" s="14"/>
    </row>
    <row r="74" spans="1:28" ht="18" x14ac:dyDescent="0.25">
      <c r="C74" s="34"/>
      <c r="D74" s="34"/>
      <c r="E74" s="34"/>
      <c r="F74" s="34"/>
      <c r="G74" s="34"/>
      <c r="H74" s="34"/>
      <c r="I74" s="34"/>
      <c r="J74" s="34"/>
      <c r="K74" s="164"/>
      <c r="L74" s="164"/>
      <c r="M74" s="164"/>
      <c r="N74" s="164"/>
      <c r="O74" s="164"/>
      <c r="P74" s="164"/>
      <c r="Q74" s="164"/>
      <c r="R74" s="164"/>
      <c r="S74" s="164"/>
      <c r="W74" s="223"/>
      <c r="X74" s="184"/>
      <c r="Y74" s="14"/>
      <c r="Z74" s="14"/>
      <c r="AA74" s="14"/>
      <c r="AB74" s="14"/>
    </row>
    <row r="75" spans="1:28" ht="18" x14ac:dyDescent="0.25"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3"/>
      <c r="Q75" s="168"/>
      <c r="R75" s="168"/>
      <c r="S75" s="181"/>
      <c r="W75" s="223"/>
      <c r="X75" s="184"/>
      <c r="Y75" s="14"/>
      <c r="Z75" s="14"/>
      <c r="AA75" s="14"/>
      <c r="AB75" s="14"/>
    </row>
    <row r="76" spans="1:28" ht="18" x14ac:dyDescent="0.25">
      <c r="C76" s="164"/>
      <c r="D76" s="164"/>
      <c r="E76" s="164"/>
      <c r="F76" s="164"/>
      <c r="G76" s="164"/>
      <c r="H76" s="164"/>
      <c r="I76" s="163"/>
      <c r="J76" s="163"/>
      <c r="K76" s="163"/>
      <c r="L76" s="163"/>
      <c r="M76" s="164"/>
      <c r="N76" s="164"/>
      <c r="O76" s="163"/>
      <c r="P76" s="163"/>
      <c r="Q76" s="168"/>
      <c r="R76" s="168"/>
      <c r="S76" s="181"/>
      <c r="W76" s="223"/>
      <c r="X76" s="184"/>
      <c r="Y76" s="14"/>
      <c r="Z76" s="14"/>
      <c r="AA76" s="14"/>
      <c r="AB76" s="14"/>
    </row>
    <row r="77" spans="1:28" ht="18" x14ac:dyDescent="0.25">
      <c r="D77" s="221"/>
      <c r="E77" s="168"/>
      <c r="F77" s="222"/>
      <c r="G77" s="164"/>
      <c r="H77" s="164"/>
      <c r="I77" s="163"/>
      <c r="J77" s="163"/>
      <c r="K77" s="163"/>
      <c r="L77" s="163"/>
      <c r="M77" s="163"/>
      <c r="N77" s="163"/>
      <c r="O77" s="163"/>
      <c r="P77" s="163"/>
      <c r="Q77" s="168"/>
      <c r="R77" s="168"/>
      <c r="S77" s="181"/>
      <c r="V77" s="14"/>
      <c r="W77" s="223"/>
      <c r="X77" s="184"/>
      <c r="Y77" s="14"/>
      <c r="Z77" s="14"/>
      <c r="AA77" s="14"/>
      <c r="AB77" s="14"/>
    </row>
    <row r="78" spans="1:28" s="14" customFormat="1" ht="18" x14ac:dyDescent="0.25">
      <c r="F78" s="222"/>
      <c r="G78" s="164"/>
      <c r="H78" s="164"/>
      <c r="I78" s="163"/>
      <c r="J78" s="163"/>
      <c r="K78" s="163"/>
      <c r="L78" s="163"/>
      <c r="M78" s="163"/>
      <c r="N78" s="163"/>
      <c r="O78" s="163"/>
      <c r="P78" s="163"/>
      <c r="Q78" s="168"/>
      <c r="R78" s="168"/>
      <c r="S78" s="181"/>
      <c r="W78" s="223"/>
      <c r="X78" s="184"/>
    </row>
    <row r="79" spans="1:28" s="14" customFormat="1" ht="18" x14ac:dyDescent="0.25">
      <c r="F79" s="222"/>
      <c r="G79" s="164"/>
      <c r="H79" s="164"/>
      <c r="I79" s="163"/>
      <c r="J79" s="163"/>
      <c r="K79" s="163"/>
      <c r="L79" s="163"/>
      <c r="M79" s="163"/>
      <c r="N79" s="224"/>
      <c r="O79" s="163"/>
      <c r="P79" s="163"/>
      <c r="Q79" s="168"/>
      <c r="R79" s="168"/>
      <c r="S79" s="181"/>
      <c r="V79" s="72"/>
      <c r="W79" s="223"/>
      <c r="X79" s="184"/>
    </row>
    <row r="80" spans="1:28" ht="18" x14ac:dyDescent="0.25">
      <c r="F80" s="222"/>
      <c r="G80" s="164"/>
      <c r="H80" s="164"/>
      <c r="I80" s="163"/>
      <c r="J80" s="163"/>
      <c r="K80" s="163"/>
      <c r="L80" s="163"/>
      <c r="M80" s="163"/>
      <c r="N80" s="179"/>
      <c r="O80" s="163"/>
      <c r="P80" s="163"/>
      <c r="Q80" s="168"/>
      <c r="R80" s="168"/>
      <c r="S80" s="181"/>
      <c r="W80" s="223"/>
      <c r="X80" s="184"/>
      <c r="Y80" s="14"/>
      <c r="Z80" s="14"/>
      <c r="AA80" s="14"/>
      <c r="AB80" s="14"/>
    </row>
    <row r="81" spans="1:28" ht="18" x14ac:dyDescent="0.25">
      <c r="A81" s="298" t="s">
        <v>227</v>
      </c>
      <c r="B81" s="164"/>
      <c r="F81" s="164"/>
      <c r="G81" s="164"/>
      <c r="H81" s="164"/>
      <c r="I81" s="163"/>
      <c r="J81" s="163"/>
      <c r="K81" s="163"/>
      <c r="L81" s="163"/>
      <c r="M81" s="163"/>
      <c r="N81" s="179"/>
      <c r="O81" s="163"/>
      <c r="P81" s="163"/>
      <c r="Q81" s="168"/>
      <c r="R81" s="168"/>
      <c r="S81" s="181"/>
      <c r="W81" s="223"/>
      <c r="X81" s="184"/>
      <c r="Y81" s="14"/>
      <c r="Z81" s="13"/>
      <c r="AA81" s="14"/>
      <c r="AB81" s="14"/>
    </row>
    <row r="82" spans="1:28" ht="18" x14ac:dyDescent="0.25">
      <c r="A82" s="171">
        <v>101</v>
      </c>
      <c r="B82" s="168" t="s">
        <v>308</v>
      </c>
      <c r="F82" s="164"/>
      <c r="G82" s="164"/>
      <c r="H82" s="164"/>
      <c r="I82" s="163"/>
      <c r="J82" s="163"/>
      <c r="K82" s="163"/>
      <c r="L82" s="163"/>
      <c r="M82" s="163"/>
      <c r="N82" s="189"/>
      <c r="O82" s="163"/>
      <c r="P82" s="163"/>
      <c r="Q82" s="168"/>
      <c r="R82" s="168"/>
      <c r="S82" s="181"/>
      <c r="W82" s="223"/>
      <c r="X82" s="184"/>
      <c r="Y82" s="14"/>
      <c r="Z82" s="13"/>
      <c r="AA82" s="14"/>
      <c r="AB82" s="14"/>
    </row>
    <row r="83" spans="1:28" ht="18" x14ac:dyDescent="0.25">
      <c r="A83" s="171">
        <v>205</v>
      </c>
      <c r="B83" s="75" t="s">
        <v>314</v>
      </c>
      <c r="F83" s="183"/>
      <c r="G83" s="164"/>
      <c r="H83" s="164"/>
      <c r="I83" s="163"/>
      <c r="J83" s="163"/>
      <c r="K83" s="163"/>
      <c r="L83" s="163"/>
      <c r="M83" s="163"/>
      <c r="N83" s="189"/>
      <c r="O83" s="163"/>
      <c r="P83" s="163"/>
      <c r="Q83" s="168"/>
      <c r="R83" s="168"/>
      <c r="S83" s="181"/>
      <c r="W83" s="223"/>
      <c r="X83" s="184"/>
      <c r="Y83" s="14"/>
      <c r="Z83" s="13"/>
      <c r="AA83" s="14"/>
      <c r="AB83" s="14"/>
    </row>
    <row r="84" spans="1:28" ht="18" x14ac:dyDescent="0.25">
      <c r="A84" s="171">
        <v>301</v>
      </c>
      <c r="B84" s="77" t="s">
        <v>306</v>
      </c>
      <c r="F84" s="325"/>
      <c r="G84" s="164"/>
      <c r="H84" s="164"/>
      <c r="I84" s="163"/>
      <c r="J84" s="163"/>
      <c r="K84" s="163"/>
      <c r="L84" s="163"/>
      <c r="M84" s="163"/>
      <c r="N84" s="189"/>
      <c r="O84" s="163"/>
      <c r="P84" s="163"/>
      <c r="Q84" s="168"/>
      <c r="R84" s="168"/>
      <c r="S84" s="181"/>
      <c r="W84" s="223"/>
      <c r="X84" s="184"/>
      <c r="Y84" s="14"/>
      <c r="Z84" s="13"/>
      <c r="AA84" s="14"/>
      <c r="AB84" s="14"/>
    </row>
    <row r="85" spans="1:28" ht="18" x14ac:dyDescent="0.25">
      <c r="A85" s="171">
        <v>402</v>
      </c>
      <c r="B85" s="77" t="s">
        <v>298</v>
      </c>
      <c r="F85" s="335"/>
      <c r="G85" s="164"/>
      <c r="H85" s="164"/>
      <c r="I85" s="163"/>
      <c r="J85" s="163"/>
      <c r="K85" s="163"/>
      <c r="L85" s="163"/>
      <c r="M85" s="163"/>
      <c r="N85" s="189"/>
      <c r="O85" s="163"/>
      <c r="P85" s="163"/>
      <c r="Q85" s="168"/>
      <c r="R85" s="168"/>
      <c r="S85" s="181"/>
      <c r="W85" s="223"/>
      <c r="X85" s="184"/>
      <c r="Y85" s="14"/>
      <c r="Z85" s="13"/>
      <c r="AA85" s="14"/>
      <c r="AB85" s="14"/>
    </row>
    <row r="86" spans="1:28" ht="18" x14ac:dyDescent="0.25">
      <c r="A86" s="370">
        <v>414</v>
      </c>
      <c r="B86" s="78" t="s">
        <v>319</v>
      </c>
      <c r="F86" s="222"/>
      <c r="G86" s="176"/>
      <c r="H86" s="164"/>
      <c r="I86" s="163"/>
      <c r="J86" s="163"/>
      <c r="K86" s="163"/>
      <c r="L86" s="163"/>
      <c r="M86" s="163"/>
      <c r="N86" s="189"/>
      <c r="O86" s="163"/>
      <c r="P86" s="163"/>
      <c r="Q86" s="168"/>
      <c r="R86" s="168"/>
      <c r="S86" s="181"/>
      <c r="W86" s="223"/>
      <c r="X86" s="184"/>
      <c r="Y86" s="14"/>
      <c r="Z86" s="13"/>
      <c r="AA86" s="14"/>
      <c r="AB86" s="14"/>
    </row>
    <row r="87" spans="1:28" ht="18" x14ac:dyDescent="0.25">
      <c r="A87" s="370"/>
      <c r="B87" s="78" t="s">
        <v>321</v>
      </c>
      <c r="F87" s="222"/>
      <c r="G87" s="176"/>
      <c r="H87" s="164"/>
      <c r="I87" s="163"/>
      <c r="J87" s="163"/>
      <c r="K87" s="163"/>
      <c r="L87" s="163"/>
      <c r="M87" s="163"/>
      <c r="N87" s="189"/>
      <c r="O87" s="163"/>
      <c r="P87" s="163"/>
      <c r="Q87" s="168"/>
      <c r="R87" s="168"/>
      <c r="S87" s="181"/>
      <c r="W87" s="223"/>
      <c r="X87" s="184"/>
      <c r="Y87" s="14"/>
      <c r="Z87" s="13"/>
      <c r="AA87" s="14"/>
      <c r="AB87" s="14"/>
    </row>
    <row r="88" spans="1:28" ht="18" x14ac:dyDescent="0.25">
      <c r="A88" s="167">
        <v>416</v>
      </c>
      <c r="B88" s="371" t="s">
        <v>299</v>
      </c>
      <c r="F88" s="222"/>
      <c r="G88" s="176"/>
      <c r="H88" s="164"/>
      <c r="I88" s="163"/>
      <c r="J88" s="163"/>
      <c r="K88" s="163"/>
      <c r="L88" s="163"/>
      <c r="M88" s="163"/>
      <c r="N88" s="179"/>
      <c r="O88" s="163"/>
      <c r="P88" s="163"/>
      <c r="Q88" s="168"/>
      <c r="R88" s="168"/>
      <c r="S88" s="181"/>
      <c r="W88" s="223"/>
      <c r="X88" s="184"/>
      <c r="Y88" s="14"/>
      <c r="Z88" s="13"/>
      <c r="AA88" s="14"/>
      <c r="AB88" s="14"/>
    </row>
    <row r="89" spans="1:28" ht="18" x14ac:dyDescent="0.25">
      <c r="A89" s="171">
        <v>418</v>
      </c>
      <c r="B89" s="77" t="s">
        <v>283</v>
      </c>
      <c r="F89" s="222"/>
      <c r="G89" s="176"/>
      <c r="H89" s="164"/>
      <c r="I89" s="163"/>
      <c r="J89" s="163"/>
      <c r="K89" s="163"/>
      <c r="L89" s="163"/>
      <c r="M89" s="163"/>
      <c r="N89" s="179"/>
      <c r="O89" s="163"/>
      <c r="P89" s="163"/>
      <c r="Q89" s="168"/>
      <c r="R89" s="168"/>
      <c r="S89" s="181"/>
      <c r="W89" s="223"/>
      <c r="X89" s="184"/>
      <c r="Y89" s="14"/>
      <c r="Z89" s="13"/>
      <c r="AA89" s="14"/>
      <c r="AB89" s="14"/>
    </row>
    <row r="90" spans="1:28" ht="18" x14ac:dyDescent="0.25">
      <c r="B90" s="77" t="s">
        <v>315</v>
      </c>
      <c r="F90" s="222"/>
      <c r="G90" s="176"/>
      <c r="H90" s="164"/>
      <c r="I90" s="163"/>
      <c r="J90" s="163"/>
      <c r="K90" s="163"/>
      <c r="L90" s="163"/>
      <c r="M90" s="163"/>
      <c r="N90" s="179"/>
      <c r="O90" s="163"/>
      <c r="P90" s="163"/>
      <c r="Q90" s="168"/>
      <c r="R90" s="168"/>
      <c r="S90" s="181"/>
      <c r="W90" s="223"/>
      <c r="X90" s="184"/>
      <c r="Y90" s="14"/>
      <c r="Z90" s="13"/>
      <c r="AA90" s="14"/>
      <c r="AB90" s="14"/>
    </row>
    <row r="91" spans="1:28" ht="18" x14ac:dyDescent="0.25">
      <c r="B91" s="77" t="s">
        <v>309</v>
      </c>
      <c r="F91" s="222"/>
      <c r="G91" s="176"/>
      <c r="H91" s="164"/>
      <c r="I91" s="163"/>
      <c r="J91" s="163"/>
      <c r="K91" s="163"/>
      <c r="L91" s="163"/>
      <c r="M91" s="163"/>
      <c r="N91" s="179"/>
      <c r="O91" s="163"/>
      <c r="P91" s="163"/>
      <c r="Q91" s="168"/>
      <c r="R91" s="168"/>
      <c r="S91" s="181"/>
      <c r="W91" s="223"/>
      <c r="X91" s="184"/>
      <c r="Y91" s="14"/>
      <c r="Z91" s="13"/>
      <c r="AA91" s="14"/>
      <c r="AB91" s="14"/>
    </row>
    <row r="92" spans="1:28" ht="18" x14ac:dyDescent="0.25">
      <c r="A92" s="171">
        <v>432</v>
      </c>
      <c r="B92" s="99" t="s">
        <v>318</v>
      </c>
      <c r="C92" s="34"/>
      <c r="F92" s="222"/>
      <c r="G92" s="176"/>
      <c r="H92" s="164"/>
      <c r="I92" s="163"/>
      <c r="J92" s="163"/>
      <c r="K92" s="163"/>
      <c r="L92" s="163"/>
      <c r="M92" s="163"/>
      <c r="N92" s="179"/>
      <c r="O92" s="163"/>
      <c r="P92" s="163"/>
      <c r="Q92" s="168"/>
      <c r="R92" s="168"/>
      <c r="S92" s="181"/>
      <c r="W92" s="223"/>
      <c r="X92" s="184"/>
      <c r="Y92" s="14"/>
      <c r="Z92" s="13"/>
      <c r="AA92" s="14"/>
      <c r="AB92" s="14"/>
    </row>
    <row r="93" spans="1:28" ht="18" x14ac:dyDescent="0.25">
      <c r="A93" s="171">
        <v>501</v>
      </c>
      <c r="B93" s="77" t="s">
        <v>317</v>
      </c>
      <c r="F93" s="222"/>
      <c r="G93" s="176"/>
      <c r="H93" s="164"/>
      <c r="I93" s="163"/>
      <c r="J93" s="163"/>
      <c r="K93" s="163"/>
      <c r="L93" s="163"/>
      <c r="M93" s="163"/>
      <c r="N93" s="179"/>
      <c r="O93" s="163"/>
      <c r="P93" s="163"/>
      <c r="Q93" s="168"/>
      <c r="R93" s="168"/>
      <c r="S93" s="181"/>
      <c r="W93" s="223"/>
      <c r="X93" s="184"/>
      <c r="Y93" s="14"/>
      <c r="Z93" s="13"/>
      <c r="AA93" s="14"/>
      <c r="AB93" s="14"/>
    </row>
    <row r="94" spans="1:28" ht="18" x14ac:dyDescent="0.25">
      <c r="A94" s="171">
        <v>510</v>
      </c>
      <c r="B94" s="75" t="s">
        <v>307</v>
      </c>
      <c r="F94" s="222"/>
      <c r="G94" s="176"/>
      <c r="H94" s="164"/>
      <c r="I94" s="163"/>
      <c r="J94" s="163"/>
      <c r="K94" s="163"/>
      <c r="L94" s="163"/>
      <c r="M94" s="163"/>
      <c r="N94" s="179"/>
      <c r="O94" s="163"/>
      <c r="P94" s="163"/>
      <c r="Q94" s="168"/>
      <c r="R94" s="168"/>
      <c r="S94" s="181"/>
      <c r="W94" s="223"/>
      <c r="X94" s="184"/>
      <c r="Y94" s="14"/>
      <c r="Z94" s="13"/>
      <c r="AA94" s="14"/>
      <c r="AB94" s="14"/>
    </row>
    <row r="95" spans="1:28" ht="18" x14ac:dyDescent="0.25">
      <c r="A95" s="323"/>
      <c r="B95" s="77"/>
      <c r="F95" s="222"/>
      <c r="G95" s="176"/>
      <c r="H95" s="164"/>
      <c r="I95" s="163"/>
      <c r="J95" s="163"/>
      <c r="K95" s="163"/>
      <c r="L95" s="163"/>
      <c r="M95" s="163"/>
      <c r="N95" s="179"/>
      <c r="O95" s="163"/>
      <c r="P95" s="163"/>
      <c r="Q95" s="168"/>
      <c r="R95" s="168"/>
      <c r="S95" s="181"/>
      <c r="W95" s="223"/>
      <c r="X95" s="184"/>
      <c r="Y95" s="14"/>
      <c r="Z95" s="13"/>
      <c r="AA95" s="14"/>
      <c r="AB95" s="14"/>
    </row>
    <row r="96" spans="1:28" ht="18" x14ac:dyDescent="0.25">
      <c r="A96" s="171"/>
      <c r="B96" s="75"/>
      <c r="F96" s="222"/>
      <c r="G96" s="176"/>
      <c r="H96" s="164"/>
      <c r="I96" s="163"/>
      <c r="J96" s="163"/>
      <c r="K96" s="163"/>
      <c r="L96" s="163"/>
      <c r="M96" s="163"/>
      <c r="N96" s="179"/>
      <c r="O96" s="163"/>
      <c r="P96" s="163"/>
      <c r="Q96" s="168"/>
      <c r="R96" s="168"/>
      <c r="S96" s="181"/>
      <c r="W96" s="223"/>
      <c r="X96" s="184"/>
      <c r="Y96" s="14"/>
      <c r="Z96" s="13"/>
      <c r="AA96" s="14"/>
      <c r="AB96" s="14"/>
    </row>
    <row r="97" spans="1:28" ht="18" x14ac:dyDescent="0.25">
      <c r="A97" s="171"/>
      <c r="B97" s="75"/>
      <c r="F97" s="222"/>
      <c r="G97" s="176"/>
      <c r="H97" s="164"/>
      <c r="I97" s="163"/>
      <c r="J97" s="163"/>
      <c r="K97" s="163"/>
      <c r="L97" s="163"/>
      <c r="M97" s="163"/>
      <c r="N97" s="179"/>
      <c r="O97" s="163"/>
      <c r="P97" s="163"/>
      <c r="Q97" s="168"/>
      <c r="R97" s="168"/>
      <c r="S97" s="181"/>
      <c r="W97" s="223"/>
      <c r="X97" s="184"/>
      <c r="Y97" s="14"/>
      <c r="Z97" s="13"/>
      <c r="AA97" s="14"/>
      <c r="AB97" s="14"/>
    </row>
    <row r="98" spans="1:28" ht="18" x14ac:dyDescent="0.25">
      <c r="A98" s="171"/>
      <c r="B98" s="75"/>
      <c r="F98" s="222"/>
      <c r="G98" s="176"/>
      <c r="H98" s="164"/>
      <c r="I98" s="163"/>
      <c r="J98" s="163"/>
      <c r="K98" s="163"/>
      <c r="L98" s="163"/>
      <c r="M98" s="163"/>
      <c r="N98" s="179"/>
      <c r="O98" s="163"/>
      <c r="P98" s="163"/>
      <c r="Q98" s="168"/>
      <c r="R98" s="168"/>
      <c r="S98" s="181"/>
      <c r="W98" s="223"/>
      <c r="X98" s="184"/>
      <c r="Y98" s="14"/>
      <c r="Z98" s="13"/>
      <c r="AA98" s="14"/>
      <c r="AB98" s="14"/>
    </row>
    <row r="99" spans="1:28" ht="18" x14ac:dyDescent="0.25">
      <c r="A99" s="171"/>
      <c r="B99" s="75"/>
      <c r="F99" s="222"/>
      <c r="G99" s="176"/>
      <c r="H99" s="164"/>
      <c r="I99" s="163"/>
      <c r="J99" s="163"/>
      <c r="K99" s="163"/>
      <c r="L99" s="163"/>
      <c r="M99" s="163"/>
      <c r="N99" s="179"/>
      <c r="O99" s="163"/>
      <c r="P99" s="163"/>
      <c r="Q99" s="168"/>
      <c r="R99" s="168"/>
      <c r="S99" s="181"/>
      <c r="W99" s="223"/>
      <c r="X99" s="184"/>
      <c r="Y99" s="14"/>
      <c r="Z99" s="13"/>
      <c r="AA99" s="14"/>
      <c r="AB99" s="14"/>
    </row>
    <row r="100" spans="1:28" ht="18" x14ac:dyDescent="0.25">
      <c r="A100" s="171"/>
      <c r="B100" s="75"/>
      <c r="F100" s="222"/>
      <c r="G100" s="176"/>
      <c r="H100" s="164"/>
      <c r="I100" s="163"/>
      <c r="J100" s="163"/>
      <c r="K100" s="163"/>
      <c r="L100" s="163"/>
      <c r="M100" s="163"/>
      <c r="N100" s="179"/>
      <c r="O100" s="163"/>
      <c r="P100" s="163"/>
      <c r="Q100" s="168"/>
      <c r="R100" s="168"/>
      <c r="S100" s="181"/>
      <c r="W100" s="223"/>
      <c r="X100" s="184"/>
      <c r="Y100" s="14"/>
      <c r="Z100" s="13"/>
      <c r="AA100" s="14"/>
      <c r="AB100" s="14"/>
    </row>
    <row r="101" spans="1:28" ht="18" x14ac:dyDescent="0.25">
      <c r="A101" s="171"/>
      <c r="B101" s="75"/>
      <c r="F101" s="222"/>
      <c r="G101" s="176"/>
      <c r="H101" s="164"/>
      <c r="I101" s="163"/>
      <c r="J101" s="163"/>
      <c r="K101" s="163"/>
      <c r="L101" s="163"/>
      <c r="M101" s="163"/>
      <c r="N101" s="179"/>
      <c r="O101" s="163"/>
      <c r="P101" s="163"/>
      <c r="Q101" s="168"/>
      <c r="R101" s="168"/>
      <c r="S101" s="181"/>
      <c r="W101" s="223"/>
      <c r="X101" s="184"/>
      <c r="Y101" s="14"/>
      <c r="Z101" s="13"/>
      <c r="AA101" s="14"/>
      <c r="AB101" s="14"/>
    </row>
    <row r="102" spans="1:28" ht="18" x14ac:dyDescent="0.25">
      <c r="A102" s="171"/>
      <c r="B102" s="168"/>
      <c r="F102" s="222"/>
      <c r="G102" s="176"/>
      <c r="H102" s="164"/>
      <c r="I102" s="163"/>
      <c r="J102" s="163"/>
      <c r="K102" s="163"/>
      <c r="L102" s="163"/>
      <c r="M102" s="163"/>
      <c r="N102" s="179"/>
      <c r="O102" s="163"/>
      <c r="P102" s="163"/>
      <c r="Q102" s="168"/>
      <c r="R102" s="168"/>
      <c r="S102" s="181"/>
      <c r="W102" s="223"/>
      <c r="X102" s="184"/>
      <c r="Y102" s="14"/>
      <c r="Z102" s="13"/>
      <c r="AA102" s="14"/>
      <c r="AB102" s="14"/>
    </row>
    <row r="103" spans="1:28" ht="18" x14ac:dyDescent="0.25">
      <c r="B103" s="75"/>
      <c r="F103" s="222"/>
      <c r="G103" s="176"/>
      <c r="H103" s="164"/>
      <c r="I103" s="163"/>
      <c r="J103" s="163"/>
      <c r="K103" s="163"/>
      <c r="L103" s="163"/>
      <c r="M103" s="163"/>
      <c r="N103" s="179"/>
      <c r="O103" s="163"/>
      <c r="P103" s="163"/>
      <c r="Q103" s="168"/>
      <c r="R103" s="168"/>
      <c r="S103" s="181"/>
      <c r="W103" s="164"/>
      <c r="X103" s="184"/>
      <c r="Y103" s="14"/>
      <c r="Z103" s="13"/>
      <c r="AA103" s="14"/>
      <c r="AB103" s="14"/>
    </row>
    <row r="104" spans="1:28" ht="18" x14ac:dyDescent="0.25">
      <c r="B104" s="75"/>
      <c r="F104" s="222"/>
      <c r="G104" s="176"/>
      <c r="H104" s="164"/>
      <c r="I104" s="163"/>
      <c r="J104" s="163"/>
      <c r="K104" s="163"/>
      <c r="L104" s="163"/>
      <c r="M104" s="163"/>
      <c r="N104" s="179"/>
      <c r="O104" s="163"/>
      <c r="P104" s="163"/>
      <c r="Q104" s="168"/>
      <c r="R104" s="168"/>
      <c r="S104" s="181"/>
      <c r="W104" s="164"/>
      <c r="X104" s="184"/>
      <c r="Y104" s="14"/>
      <c r="Z104" s="13"/>
      <c r="AA104" s="14"/>
      <c r="AB104" s="14"/>
    </row>
    <row r="105" spans="1:28" ht="18" x14ac:dyDescent="0.25">
      <c r="A105" s="171"/>
      <c r="B105" s="168"/>
      <c r="F105" s="222"/>
      <c r="G105" s="176"/>
      <c r="H105" s="164"/>
      <c r="I105" s="163"/>
      <c r="J105" s="163"/>
      <c r="K105" s="163"/>
      <c r="L105" s="163"/>
      <c r="M105" s="163"/>
      <c r="N105" s="179"/>
      <c r="O105" s="163"/>
      <c r="P105" s="163"/>
      <c r="Q105" s="168"/>
      <c r="R105" s="168"/>
      <c r="S105" s="181"/>
      <c r="W105" s="164"/>
      <c r="X105" s="184"/>
      <c r="Y105" s="14"/>
      <c r="Z105" s="13"/>
      <c r="AA105" s="14"/>
      <c r="AB105" s="14"/>
    </row>
    <row r="106" spans="1:28" ht="18" x14ac:dyDescent="0.25">
      <c r="A106" s="171"/>
      <c r="B106" s="75"/>
      <c r="F106" s="222"/>
      <c r="G106" s="164"/>
      <c r="H106" s="164"/>
      <c r="I106" s="163"/>
      <c r="J106" s="163"/>
      <c r="K106" s="163"/>
      <c r="L106" s="163"/>
      <c r="M106" s="163"/>
      <c r="N106" s="179"/>
      <c r="O106" s="163"/>
      <c r="P106" s="163"/>
      <c r="Q106" s="168"/>
      <c r="R106" s="168"/>
      <c r="S106" s="181"/>
      <c r="X106" s="184"/>
      <c r="Y106" s="14"/>
      <c r="Z106" s="13"/>
      <c r="AA106" s="14"/>
      <c r="AB106" s="14"/>
    </row>
    <row r="107" spans="1:28" ht="18" x14ac:dyDescent="0.25">
      <c r="A107" s="171"/>
      <c r="B107" s="168"/>
      <c r="F107" s="222"/>
      <c r="G107" s="164"/>
      <c r="H107" s="164"/>
      <c r="I107" s="163"/>
      <c r="J107" s="163"/>
      <c r="K107" s="163"/>
      <c r="L107" s="163"/>
      <c r="M107" s="163"/>
      <c r="N107" s="179"/>
      <c r="O107" s="163"/>
      <c r="P107" s="216"/>
      <c r="Q107" s="168"/>
      <c r="R107" s="168"/>
      <c r="S107" s="181"/>
      <c r="W107" s="164"/>
      <c r="X107" s="184"/>
      <c r="Y107" s="14"/>
      <c r="Z107" s="13"/>
      <c r="AA107" s="14"/>
      <c r="AB107" s="14"/>
    </row>
    <row r="108" spans="1:28" ht="18" x14ac:dyDescent="0.25">
      <c r="A108" s="171"/>
      <c r="B108" s="168"/>
      <c r="F108" s="222"/>
      <c r="G108" s="164"/>
      <c r="H108" s="164"/>
      <c r="I108" s="216"/>
      <c r="J108" s="216"/>
      <c r="K108" s="216"/>
      <c r="L108" s="216"/>
      <c r="M108" s="163"/>
      <c r="N108" s="179"/>
      <c r="O108" s="163"/>
      <c r="P108" s="216"/>
      <c r="Q108" s="168"/>
      <c r="R108" s="168"/>
      <c r="S108" s="181"/>
      <c r="T108" s="164"/>
      <c r="U108" s="164"/>
      <c r="V108" s="181"/>
      <c r="W108" s="181"/>
      <c r="X108" s="184"/>
      <c r="Y108" s="14"/>
      <c r="Z108" s="13"/>
      <c r="AA108" s="14"/>
      <c r="AB108" s="14"/>
    </row>
    <row r="109" spans="1:28" ht="18" x14ac:dyDescent="0.25">
      <c r="A109" s="171"/>
      <c r="B109" s="168"/>
      <c r="F109" s="222"/>
      <c r="G109" s="164"/>
      <c r="H109" s="164"/>
      <c r="I109" s="216"/>
      <c r="J109" s="216"/>
      <c r="K109" s="216"/>
      <c r="L109" s="216"/>
      <c r="M109" s="216"/>
      <c r="N109" s="179"/>
      <c r="O109" s="216"/>
      <c r="P109" s="216"/>
      <c r="Q109" s="168"/>
      <c r="R109" s="168"/>
      <c r="S109" s="181"/>
      <c r="T109" s="181"/>
      <c r="U109" s="218"/>
      <c r="V109" s="181"/>
      <c r="W109" s="181"/>
      <c r="X109" s="184"/>
      <c r="Y109" s="14"/>
      <c r="Z109" s="13"/>
      <c r="AA109" s="14"/>
      <c r="AB109" s="14"/>
    </row>
    <row r="110" spans="1:28" ht="18" x14ac:dyDescent="0.25">
      <c r="F110" s="222"/>
      <c r="G110" s="164"/>
      <c r="H110" s="164"/>
      <c r="I110" s="216"/>
      <c r="J110" s="216"/>
      <c r="K110" s="216"/>
      <c r="L110" s="216"/>
      <c r="M110" s="216"/>
      <c r="N110" s="179"/>
      <c r="O110" s="216"/>
      <c r="P110" s="163"/>
      <c r="Q110" s="168"/>
      <c r="R110" s="222"/>
      <c r="S110" s="181"/>
      <c r="T110" s="181"/>
      <c r="U110" s="218"/>
      <c r="V110" s="181"/>
      <c r="W110" s="181"/>
      <c r="X110" s="184"/>
      <c r="Y110" s="14"/>
      <c r="Z110" s="13"/>
      <c r="AA110" s="14"/>
      <c r="AB110" s="14"/>
    </row>
    <row r="111" spans="1:28" ht="18" x14ac:dyDescent="0.25">
      <c r="F111" s="215"/>
      <c r="G111" s="164"/>
      <c r="H111" s="164"/>
      <c r="I111" s="163"/>
      <c r="J111" s="163"/>
      <c r="K111" s="163"/>
      <c r="L111" s="163"/>
      <c r="M111" s="216"/>
      <c r="N111" s="179"/>
      <c r="O111" s="216"/>
      <c r="P111" s="163"/>
      <c r="Q111" s="215"/>
      <c r="R111" s="222"/>
      <c r="S111" s="181"/>
      <c r="T111" s="181"/>
      <c r="U111" s="181"/>
      <c r="V111" s="181"/>
      <c r="W111" s="181"/>
      <c r="X111" s="184"/>
      <c r="Y111" s="14"/>
      <c r="Z111" s="13"/>
      <c r="AA111" s="14"/>
      <c r="AB111" s="14"/>
    </row>
    <row r="112" spans="1:28" ht="18" x14ac:dyDescent="0.25">
      <c r="F112" s="215"/>
      <c r="G112" s="164"/>
      <c r="H112" s="164"/>
      <c r="I112" s="163"/>
      <c r="J112" s="163"/>
      <c r="K112" s="163"/>
      <c r="L112" s="163"/>
      <c r="M112" s="163"/>
      <c r="N112" s="179"/>
      <c r="O112" s="163"/>
      <c r="P112" s="163"/>
      <c r="Q112" s="215"/>
      <c r="R112" s="222"/>
      <c r="S112" s="181"/>
      <c r="T112" s="181"/>
      <c r="U112" s="181"/>
      <c r="V112" s="181"/>
      <c r="W112" s="181"/>
      <c r="X112" s="184"/>
      <c r="Y112" s="14"/>
      <c r="Z112" s="13"/>
      <c r="AA112" s="14"/>
      <c r="AB112" s="14"/>
    </row>
    <row r="113" spans="1:28" s="14" customFormat="1" ht="18" x14ac:dyDescent="0.25">
      <c r="F113" s="215"/>
      <c r="G113" s="164"/>
      <c r="H113" s="164"/>
      <c r="I113" s="163"/>
      <c r="J113" s="163"/>
      <c r="K113" s="163"/>
      <c r="L113" s="163"/>
      <c r="M113" s="163"/>
      <c r="N113" s="179"/>
      <c r="O113" s="163"/>
      <c r="P113" s="163"/>
      <c r="Q113" s="215"/>
      <c r="R113" s="168"/>
      <c r="S113" s="181"/>
      <c r="T113" s="181"/>
      <c r="U113" s="181"/>
      <c r="V113" s="181"/>
      <c r="W113" s="181"/>
      <c r="X113" s="184"/>
    </row>
    <row r="114" spans="1:28" ht="18" x14ac:dyDescent="0.25">
      <c r="F114" s="164"/>
      <c r="G114" s="164"/>
      <c r="H114" s="164"/>
      <c r="I114" s="163"/>
      <c r="J114" s="163"/>
      <c r="K114" s="163"/>
      <c r="L114" s="163"/>
      <c r="M114" s="163"/>
      <c r="N114" s="179"/>
      <c r="O114" s="163"/>
      <c r="P114" s="163"/>
      <c r="Q114" s="168"/>
      <c r="R114" s="168"/>
      <c r="S114" s="181"/>
      <c r="T114" s="181"/>
      <c r="U114" s="181"/>
      <c r="V114" s="181"/>
      <c r="W114" s="181"/>
      <c r="X114" s="184"/>
      <c r="Y114" s="14"/>
      <c r="Z114" s="14"/>
      <c r="AA114" s="14"/>
      <c r="AB114" s="14"/>
    </row>
    <row r="115" spans="1:28" ht="18" x14ac:dyDescent="0.25">
      <c r="E115" s="223"/>
      <c r="F115" s="184"/>
      <c r="G115" s="164"/>
      <c r="H115" s="164"/>
      <c r="I115" s="168"/>
      <c r="J115" s="168"/>
      <c r="K115" s="168"/>
      <c r="L115" s="168"/>
      <c r="M115" s="163"/>
      <c r="N115" s="180"/>
      <c r="O115" s="163"/>
      <c r="P115" s="164"/>
      <c r="Q115" s="168"/>
      <c r="R115" s="168"/>
      <c r="S115" s="181"/>
      <c r="T115" s="181"/>
      <c r="U115" s="181"/>
      <c r="V115" s="181"/>
      <c r="W115" s="181"/>
      <c r="X115" s="184"/>
      <c r="Y115" s="14"/>
      <c r="Z115" s="14"/>
      <c r="AA115" s="14"/>
      <c r="AB115" s="14"/>
    </row>
    <row r="116" spans="1:28" ht="18" customHeight="1" x14ac:dyDescent="0.25">
      <c r="E116" s="223"/>
      <c r="F116" s="168"/>
      <c r="G116" s="164"/>
      <c r="H116" s="164"/>
      <c r="I116" s="168"/>
      <c r="J116" s="168"/>
      <c r="K116" s="168"/>
      <c r="L116" s="168"/>
      <c r="M116" s="168"/>
      <c r="N116" s="168"/>
      <c r="O116" s="164"/>
      <c r="P116" s="164"/>
      <c r="Q116" s="168"/>
      <c r="R116" s="168"/>
      <c r="S116" s="181"/>
      <c r="T116" s="181"/>
      <c r="U116" s="181"/>
      <c r="V116" s="181"/>
      <c r="W116" s="181"/>
      <c r="X116" s="184"/>
      <c r="Y116" s="14"/>
      <c r="Z116" s="14"/>
      <c r="AA116" s="14"/>
      <c r="AB116" s="14"/>
    </row>
    <row r="117" spans="1:28" ht="18" x14ac:dyDescent="0.25">
      <c r="E117" s="223"/>
      <c r="F117" s="168"/>
      <c r="G117" s="164"/>
      <c r="H117" s="164"/>
      <c r="I117" s="168"/>
      <c r="J117" s="168"/>
      <c r="K117" s="168"/>
      <c r="L117" s="168"/>
      <c r="M117" s="164"/>
      <c r="N117" s="164"/>
      <c r="O117" s="164"/>
      <c r="P117" s="164"/>
      <c r="Q117" s="168"/>
      <c r="R117" s="168"/>
      <c r="S117" s="181"/>
      <c r="T117" s="181"/>
      <c r="U117" s="181"/>
      <c r="V117" s="181"/>
      <c r="W117" s="181"/>
      <c r="X117" s="184"/>
      <c r="Y117" s="14"/>
      <c r="Z117" s="14"/>
      <c r="AA117" s="14"/>
      <c r="AB117" s="14"/>
    </row>
    <row r="118" spans="1:28" ht="18" x14ac:dyDescent="0.25">
      <c r="E118" s="223"/>
      <c r="F118" s="168"/>
      <c r="G118" s="164"/>
      <c r="H118" s="168"/>
      <c r="I118" s="168"/>
      <c r="J118" s="168"/>
      <c r="K118" s="168"/>
      <c r="L118" s="168"/>
      <c r="M118" s="164"/>
      <c r="N118" s="164"/>
      <c r="O118" s="164"/>
      <c r="P118" s="164"/>
      <c r="Q118" s="168"/>
      <c r="R118" s="168"/>
      <c r="S118" s="181"/>
      <c r="T118" s="181"/>
      <c r="U118" s="181"/>
      <c r="V118" s="181"/>
      <c r="W118" s="181"/>
      <c r="X118" s="184"/>
      <c r="Y118" s="14"/>
      <c r="Z118" s="14"/>
      <c r="AA118" s="14"/>
      <c r="AB118" s="14"/>
    </row>
    <row r="119" spans="1:28" ht="18" x14ac:dyDescent="0.25">
      <c r="E119" s="223"/>
      <c r="F119" s="168"/>
      <c r="G119" s="164"/>
      <c r="H119" s="168"/>
      <c r="I119" s="164"/>
      <c r="J119" s="164"/>
      <c r="K119" s="168"/>
      <c r="L119" s="168"/>
      <c r="M119" s="164"/>
      <c r="N119" s="164"/>
      <c r="O119" s="164"/>
      <c r="P119" s="164"/>
      <c r="Q119" s="168"/>
      <c r="R119" s="164"/>
      <c r="S119" s="181"/>
      <c r="T119" s="181"/>
      <c r="U119" s="181"/>
      <c r="V119" s="168"/>
      <c r="W119" s="168"/>
      <c r="X119" s="184"/>
      <c r="Y119" s="14"/>
      <c r="Z119" s="14"/>
      <c r="AA119" s="14"/>
      <c r="AB119" s="14"/>
    </row>
    <row r="120" spans="1:28" ht="18" x14ac:dyDescent="0.25">
      <c r="E120" s="223"/>
      <c r="F120" s="168"/>
      <c r="G120" s="164"/>
      <c r="H120" s="168"/>
      <c r="I120" s="164"/>
      <c r="J120" s="164"/>
      <c r="K120" s="168"/>
      <c r="L120" s="168"/>
      <c r="M120" s="164"/>
      <c r="N120" s="164"/>
      <c r="O120" s="164"/>
      <c r="P120" s="164"/>
      <c r="Q120" s="164"/>
      <c r="R120" s="164"/>
      <c r="S120" s="168"/>
      <c r="T120" s="168"/>
      <c r="U120" s="168"/>
      <c r="V120" s="168"/>
      <c r="W120" s="168"/>
      <c r="X120" s="184"/>
      <c r="Y120" s="14"/>
      <c r="Z120" s="14"/>
      <c r="AA120" s="14"/>
      <c r="AB120" s="14"/>
    </row>
    <row r="121" spans="1:28" ht="18" x14ac:dyDescent="0.25">
      <c r="E121" s="223"/>
      <c r="F121" s="168"/>
      <c r="G121" s="168"/>
      <c r="H121" s="168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8"/>
      <c r="T121" s="168"/>
      <c r="U121" s="168"/>
      <c r="V121" s="168"/>
      <c r="W121" s="168"/>
      <c r="X121" s="184"/>
      <c r="Y121" s="14"/>
      <c r="Z121" s="14"/>
      <c r="AA121" s="14"/>
      <c r="AB121" s="14"/>
    </row>
    <row r="122" spans="1:28" ht="18" x14ac:dyDescent="0.25">
      <c r="E122" s="223"/>
      <c r="F122" s="168"/>
      <c r="G122" s="168"/>
      <c r="H122" s="168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8"/>
      <c r="T122" s="168"/>
      <c r="U122" s="168"/>
      <c r="V122" s="168"/>
      <c r="W122" s="168"/>
      <c r="X122" s="184"/>
      <c r="Y122" s="14"/>
      <c r="Z122" s="14"/>
      <c r="AA122" s="14"/>
      <c r="AB122" s="14"/>
    </row>
    <row r="123" spans="1:28" ht="18" x14ac:dyDescent="0.25">
      <c r="E123" s="223"/>
      <c r="F123" s="168"/>
      <c r="G123" s="168"/>
      <c r="H123" s="168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8"/>
      <c r="T123" s="168"/>
      <c r="U123" s="168"/>
      <c r="V123" s="168"/>
      <c r="W123" s="168"/>
      <c r="X123" s="184"/>
      <c r="Y123" s="14"/>
      <c r="Z123" s="14"/>
      <c r="AA123" s="14"/>
      <c r="AB123" s="14"/>
    </row>
    <row r="124" spans="1:28" ht="18" x14ac:dyDescent="0.25">
      <c r="E124" s="223"/>
      <c r="F124" s="168"/>
      <c r="G124" s="168"/>
      <c r="H124" s="168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8"/>
      <c r="T124" s="168"/>
      <c r="U124" s="168"/>
      <c r="V124" s="168"/>
      <c r="W124" s="168"/>
      <c r="X124" s="184"/>
      <c r="Y124" s="14"/>
      <c r="Z124" s="14"/>
      <c r="AA124" s="14"/>
      <c r="AB124" s="14"/>
    </row>
    <row r="125" spans="1:28" ht="18" x14ac:dyDescent="0.25">
      <c r="E125" s="223"/>
      <c r="F125" s="168"/>
      <c r="G125" s="168"/>
      <c r="H125" s="168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8"/>
      <c r="T125" s="168"/>
      <c r="U125" s="168"/>
      <c r="V125" s="168"/>
      <c r="W125" s="168"/>
      <c r="X125" s="184"/>
      <c r="Y125" s="14"/>
      <c r="Z125" s="14"/>
      <c r="AA125" s="14"/>
      <c r="AB125" s="14"/>
    </row>
    <row r="126" spans="1:28" ht="18" x14ac:dyDescent="0.25">
      <c r="E126" s="223"/>
      <c r="F126" s="168"/>
      <c r="G126" s="168"/>
      <c r="H126" s="168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8"/>
      <c r="T126" s="168"/>
      <c r="U126" s="168"/>
      <c r="V126" s="168"/>
      <c r="W126" s="168"/>
      <c r="X126" s="184"/>
      <c r="Y126" s="14"/>
      <c r="Z126" s="14"/>
      <c r="AA126" s="14"/>
      <c r="AB126" s="14"/>
    </row>
    <row r="127" spans="1:28" ht="18" x14ac:dyDescent="0.25">
      <c r="E127" s="223"/>
      <c r="F127" s="168"/>
      <c r="G127" s="168"/>
      <c r="H127" s="168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8"/>
      <c r="T127" s="168"/>
      <c r="U127" s="168"/>
      <c r="V127" s="168"/>
      <c r="W127" s="168"/>
      <c r="X127" s="184"/>
      <c r="Y127" s="14"/>
      <c r="Z127" s="14"/>
      <c r="AA127" s="14"/>
      <c r="AB127" s="14"/>
    </row>
    <row r="128" spans="1:28" ht="18" x14ac:dyDescent="0.25">
      <c r="A128" s="168"/>
      <c r="B128" s="164"/>
      <c r="D128" s="168"/>
      <c r="E128" s="168"/>
      <c r="F128" s="164"/>
      <c r="G128" s="168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8"/>
      <c r="T128" s="168"/>
      <c r="U128" s="168"/>
      <c r="V128" s="168"/>
      <c r="W128" s="168"/>
      <c r="X128" s="184"/>
      <c r="Y128" s="14"/>
      <c r="Z128" s="14"/>
      <c r="AA128" s="14"/>
      <c r="AB128" s="14"/>
    </row>
    <row r="129" spans="1:28" ht="18" x14ac:dyDescent="0.25">
      <c r="A129" s="168"/>
      <c r="D129" s="164"/>
      <c r="E129" s="168"/>
      <c r="F129" s="164"/>
      <c r="G129" s="168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8"/>
      <c r="T129" s="168"/>
      <c r="U129" s="168"/>
      <c r="V129" s="168"/>
      <c r="W129" s="168"/>
      <c r="X129" s="184"/>
      <c r="Y129" s="14"/>
      <c r="Z129" s="14"/>
      <c r="AA129" s="14"/>
      <c r="AB129" s="14"/>
    </row>
    <row r="130" spans="1:28" ht="18" x14ac:dyDescent="0.25"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8"/>
      <c r="T130" s="168"/>
      <c r="U130" s="168"/>
      <c r="V130" s="168"/>
      <c r="W130" s="168"/>
      <c r="X130" s="184"/>
      <c r="Y130" s="14"/>
      <c r="Z130" s="14"/>
      <c r="AA130" s="14"/>
      <c r="AB130" s="14"/>
    </row>
    <row r="131" spans="1:28" ht="18" x14ac:dyDescent="0.25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8"/>
      <c r="T131" s="168"/>
      <c r="U131" s="168"/>
      <c r="V131" s="75"/>
      <c r="W131" s="75"/>
      <c r="X131" s="184"/>
      <c r="Y131" s="14"/>
      <c r="Z131" s="14"/>
      <c r="AA131" s="14"/>
      <c r="AB131" s="14"/>
    </row>
    <row r="132" spans="1:28" ht="18" x14ac:dyDescent="0.25">
      <c r="M132" s="164"/>
      <c r="N132" s="164"/>
      <c r="O132" s="164"/>
      <c r="S132" s="75"/>
      <c r="T132" s="75"/>
      <c r="U132" s="75"/>
      <c r="V132" s="75"/>
      <c r="W132" s="75"/>
    </row>
    <row r="133" spans="1:28" ht="18" x14ac:dyDescent="0.25">
      <c r="S133" s="75"/>
      <c r="T133" s="75"/>
      <c r="U133" s="75"/>
      <c r="V133" s="75"/>
      <c r="W133" s="75"/>
    </row>
    <row r="134" spans="1:28" ht="18" x14ac:dyDescent="0.25">
      <c r="S134" s="75"/>
      <c r="T134" s="75"/>
      <c r="U134" s="75"/>
      <c r="V134" s="75"/>
      <c r="W134" s="75"/>
    </row>
    <row r="135" spans="1:28" ht="18" x14ac:dyDescent="0.25">
      <c r="S135" s="75"/>
      <c r="T135" s="75"/>
      <c r="U135" s="75"/>
      <c r="V135" s="76"/>
      <c r="W135" s="76"/>
    </row>
    <row r="136" spans="1:28" ht="18" x14ac:dyDescent="0.25">
      <c r="S136" s="75"/>
      <c r="T136" s="76"/>
      <c r="U136" s="76"/>
      <c r="V136" s="76"/>
      <c r="W136" s="76"/>
    </row>
    <row r="137" spans="1:28" ht="18" x14ac:dyDescent="0.25">
      <c r="S137" s="75"/>
      <c r="T137" s="76"/>
      <c r="U137" s="76"/>
      <c r="V137" s="76"/>
      <c r="W137" s="76"/>
    </row>
    <row r="138" spans="1:28" ht="18" x14ac:dyDescent="0.25">
      <c r="S138" s="75"/>
      <c r="T138" s="76"/>
      <c r="U138" s="76"/>
      <c r="V138" s="76"/>
      <c r="W138" s="76"/>
    </row>
    <row r="139" spans="1:28" ht="18" x14ac:dyDescent="0.25">
      <c r="S139" s="75"/>
      <c r="T139" s="76"/>
      <c r="U139" s="76"/>
      <c r="V139" s="76"/>
      <c r="W139" s="76"/>
    </row>
    <row r="140" spans="1:28" ht="18" x14ac:dyDescent="0.25">
      <c r="S140" s="75"/>
      <c r="T140" s="76"/>
      <c r="U140" s="76"/>
      <c r="V140" s="76"/>
      <c r="W140" s="76"/>
    </row>
    <row r="141" spans="1:28" ht="18" x14ac:dyDescent="0.25">
      <c r="S141" s="75"/>
      <c r="T141" s="76"/>
      <c r="U141" s="76"/>
      <c r="V141" s="76"/>
      <c r="W141" s="76"/>
    </row>
    <row r="142" spans="1:28" ht="18" x14ac:dyDescent="0.25">
      <c r="S142" s="75"/>
      <c r="T142" s="76"/>
      <c r="U142" s="76"/>
    </row>
  </sheetData>
  <sortState ref="L57:M70">
    <sortCondition ref="L57:L70"/>
  </sortState>
  <pageMargins left="0.5" right="0.25" top="0.25" bottom="0.25" header="0.3" footer="0.25"/>
  <pageSetup paperSize="5" scale="43" fitToHeight="0" orientation="landscape" r:id="rId1"/>
  <ignoredErrors>
    <ignoredError sqref="A25:C25 A22 A42 S25:T25 A19:A20 V25:X25 A31:A36 A38 Z25:XFD25 A27:A29 A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AE81"/>
  <sheetViews>
    <sheetView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 activeCell="O6" sqref="O6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6" width="13.7109375" style="37" customWidth="1"/>
    <col min="17" max="17" width="14" style="37" bestFit="1" customWidth="1"/>
    <col min="18" max="19" width="16.7109375" style="37" customWidth="1"/>
    <col min="20" max="20" width="16.7109375" style="64" customWidth="1"/>
    <col min="21" max="21" width="17.42578125" style="64" customWidth="1"/>
    <col min="22" max="22" width="11" style="64" customWidth="1"/>
    <col min="23" max="23" width="15.140625" style="64" customWidth="1"/>
    <col min="24" max="24" width="14.7109375" customWidth="1"/>
  </cols>
  <sheetData>
    <row r="1" spans="1:24" s="1" customFormat="1" ht="18" customHeight="1" x14ac:dyDescent="0.25">
      <c r="A1" s="47" t="s">
        <v>0</v>
      </c>
      <c r="B1" s="47" t="s">
        <v>150</v>
      </c>
      <c r="C1" s="47" t="s">
        <v>151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4" s="1" customFormat="1" ht="18" customHeight="1" x14ac:dyDescent="0.25">
      <c r="A2" s="47" t="s">
        <v>2</v>
      </c>
      <c r="B2" s="49" t="s">
        <v>152</v>
      </c>
      <c r="C2" s="47"/>
      <c r="D2" s="48"/>
      <c r="E2" s="48"/>
      <c r="F2" s="48"/>
      <c r="G2" s="48"/>
      <c r="H2" s="48"/>
      <c r="I2" s="48"/>
      <c r="J2" s="133" t="s">
        <v>229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/>
      <c r="W2" s="48"/>
      <c r="X2" s="2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</v>
      </c>
      <c r="W3" s="48"/>
    </row>
    <row r="4" spans="1:24" s="1" customFormat="1" ht="18" customHeight="1" x14ac:dyDescent="0.25">
      <c r="A4" s="47" t="s">
        <v>9</v>
      </c>
      <c r="B4" s="47"/>
      <c r="C4" s="49" t="s">
        <v>151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4" s="1" customFormat="1" ht="48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4" s="1" customFormat="1" ht="33.7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1</v>
      </c>
      <c r="Q6" s="69" t="s">
        <v>1</v>
      </c>
      <c r="R6" s="69" t="s">
        <v>1</v>
      </c>
      <c r="S6" s="69" t="s">
        <v>1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4" s="1" customFormat="1" ht="18" customHeight="1" x14ac:dyDescent="0.25">
      <c r="A7" s="135"/>
      <c r="B7" s="135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spans="1:24" s="4" customFormat="1" ht="20.100000000000001" customHeight="1" x14ac:dyDescent="0.25">
      <c r="A8" s="135"/>
      <c r="B8" s="137" t="s">
        <v>36</v>
      </c>
      <c r="C8" s="138"/>
      <c r="D8" s="139">
        <v>0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6"/>
      <c r="W8" s="136"/>
    </row>
    <row r="9" spans="1:24" s="4" customFormat="1" ht="20.100000000000001" customHeight="1" x14ac:dyDescent="0.25">
      <c r="A9" s="135"/>
      <c r="B9" s="137" t="s">
        <v>107</v>
      </c>
      <c r="C9" s="138"/>
      <c r="D9" s="140">
        <v>0</v>
      </c>
      <c r="E9" s="141"/>
      <c r="F9" s="139">
        <v>0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6"/>
      <c r="W9" s="136"/>
    </row>
    <row r="10" spans="1:24" s="1" customFormat="1" ht="20.100000000000001" customHeight="1" x14ac:dyDescent="0.25">
      <c r="A10" s="138" t="s">
        <v>37</v>
      </c>
      <c r="B10" s="138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6"/>
      <c r="W10" s="136"/>
    </row>
    <row r="11" spans="1:24" s="1" customFormat="1" ht="20.100000000000001" customHeight="1" x14ac:dyDescent="0.2">
      <c r="A11" s="57" t="s">
        <v>40</v>
      </c>
      <c r="B11" s="57" t="s">
        <v>41</v>
      </c>
      <c r="C11" s="137"/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142">
        <f>SUMIF($D$6:$R$6,$X$2,D11:R11)</f>
        <v>0</v>
      </c>
      <c r="T11" s="142">
        <f>SUM(D11:R11)</f>
        <v>0</v>
      </c>
      <c r="U11" s="142">
        <v>1000</v>
      </c>
      <c r="V11" s="143">
        <f>SUMIF($D$6:$R$6,$X$2,D11:R11)/U11</f>
        <v>0</v>
      </c>
      <c r="W11" s="143">
        <f>T11/U11</f>
        <v>0</v>
      </c>
      <c r="X11" s="10"/>
    </row>
    <row r="12" spans="1:24" s="1" customFormat="1" ht="20.100000000000001" customHeight="1" x14ac:dyDescent="0.2">
      <c r="A12" s="137"/>
      <c r="B12" s="137"/>
      <c r="C12" s="137"/>
      <c r="D12" s="142"/>
      <c r="E12" s="142"/>
      <c r="F12" s="144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3"/>
      <c r="W12" s="143"/>
      <c r="X12" s="16"/>
    </row>
    <row r="13" spans="1:24" s="1" customFormat="1" ht="20.100000000000001" customHeight="1" x14ac:dyDescent="0.25">
      <c r="A13" s="145" t="s">
        <v>42</v>
      </c>
      <c r="B13" s="145"/>
      <c r="C13" s="145"/>
      <c r="D13" s="146">
        <f>SUM(D10:D12)</f>
        <v>0</v>
      </c>
      <c r="E13" s="146">
        <f>SUM(E10:E12)</f>
        <v>0</v>
      </c>
      <c r="F13" s="146">
        <f>SUM(F10:F12)</f>
        <v>0</v>
      </c>
      <c r="G13" s="146">
        <f>SUM(G10:G12)</f>
        <v>0</v>
      </c>
      <c r="H13" s="146">
        <f>SUM(H10:H12)</f>
        <v>0</v>
      </c>
      <c r="I13" s="146">
        <f t="shared" ref="I13:R13" si="0">SUM(I10:I12)</f>
        <v>0</v>
      </c>
      <c r="J13" s="146">
        <f t="shared" si="0"/>
        <v>0</v>
      </c>
      <c r="K13" s="146">
        <f t="shared" si="0"/>
        <v>0</v>
      </c>
      <c r="L13" s="146">
        <f t="shared" si="0"/>
        <v>0</v>
      </c>
      <c r="M13" s="146">
        <f t="shared" si="0"/>
        <v>0</v>
      </c>
      <c r="N13" s="146">
        <f t="shared" si="0"/>
        <v>0</v>
      </c>
      <c r="O13" s="146">
        <f t="shared" si="0"/>
        <v>0</v>
      </c>
      <c r="P13" s="146">
        <f t="shared" si="0"/>
        <v>0</v>
      </c>
      <c r="Q13" s="146">
        <f t="shared" si="0"/>
        <v>0</v>
      </c>
      <c r="R13" s="146">
        <f t="shared" si="0"/>
        <v>0</v>
      </c>
      <c r="S13" s="146">
        <f>SUM(S10:S12)</f>
        <v>0</v>
      </c>
      <c r="T13" s="146">
        <f>SUM(T10:T12)</f>
        <v>0</v>
      </c>
      <c r="U13" s="146">
        <f>SUM(U10:U12)</f>
        <v>1000</v>
      </c>
      <c r="V13" s="147">
        <f>SUMIF($D$6:$R$6,$X$2,D13:R13)/U13</f>
        <v>0</v>
      </c>
      <c r="W13" s="147">
        <f>T13/U13</f>
        <v>0</v>
      </c>
      <c r="X13" s="10"/>
    </row>
    <row r="14" spans="1:24" s="1" customFormat="1" ht="20.100000000000001" customHeight="1" x14ac:dyDescent="0.2">
      <c r="A14" s="148"/>
      <c r="B14" s="148"/>
      <c r="C14" s="148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/>
      <c r="W14" s="150"/>
      <c r="X14" s="10"/>
    </row>
    <row r="15" spans="1:24" s="1" customFormat="1" ht="20.100000000000001" customHeight="1" x14ac:dyDescent="0.25">
      <c r="A15" s="138" t="s">
        <v>43</v>
      </c>
      <c r="B15" s="138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47"/>
      <c r="W15" s="147"/>
      <c r="X15" s="11"/>
    </row>
    <row r="16" spans="1:24" s="4" customFormat="1" ht="20.100000000000001" customHeight="1" x14ac:dyDescent="0.2">
      <c r="A16" s="57" t="s">
        <v>112</v>
      </c>
      <c r="B16" s="57" t="s">
        <v>113</v>
      </c>
      <c r="C16" s="137"/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  <c r="R16" s="142">
        <v>0</v>
      </c>
      <c r="S16" s="142">
        <f t="shared" ref="S16" si="1">SUMIF($D$6:$R$6,$X$2,D16:R16)</f>
        <v>0</v>
      </c>
      <c r="T16" s="142">
        <f t="shared" ref="T16" si="2">SUM(D16:R16)</f>
        <v>0</v>
      </c>
      <c r="U16" s="142">
        <v>1000</v>
      </c>
      <c r="V16" s="143">
        <f t="shared" ref="V16" si="3">IF(U16=0,0,SUMIF($D$6:$R$6,$X$2,D16:R16)/U16)</f>
        <v>0</v>
      </c>
      <c r="W16" s="143">
        <f t="shared" ref="W16" si="4">IF(U16=0,0,T16/U16)</f>
        <v>0</v>
      </c>
      <c r="X16" s="17"/>
    </row>
    <row r="17" spans="1:25" ht="20.100000000000001" customHeight="1" x14ac:dyDescent="0.2">
      <c r="A17" s="137"/>
      <c r="B17" s="137"/>
      <c r="C17" s="137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>
        <v>0</v>
      </c>
      <c r="Q17" s="142">
        <v>0</v>
      </c>
      <c r="R17" s="142"/>
      <c r="S17" s="142"/>
      <c r="T17" s="142"/>
      <c r="U17" s="142"/>
      <c r="V17" s="143"/>
      <c r="W17" s="143"/>
      <c r="X17" s="11"/>
    </row>
    <row r="18" spans="1:25" ht="20.100000000000001" customHeight="1" x14ac:dyDescent="0.25">
      <c r="A18" s="145" t="s">
        <v>81</v>
      </c>
      <c r="B18" s="145"/>
      <c r="C18" s="145"/>
      <c r="D18" s="146">
        <f t="shared" ref="D18:U18" si="5">SUM(D16:D17)</f>
        <v>0</v>
      </c>
      <c r="E18" s="146">
        <f t="shared" si="5"/>
        <v>0</v>
      </c>
      <c r="F18" s="146">
        <f t="shared" si="5"/>
        <v>0</v>
      </c>
      <c r="G18" s="146">
        <f t="shared" si="5"/>
        <v>0</v>
      </c>
      <c r="H18" s="146">
        <f t="shared" si="5"/>
        <v>0</v>
      </c>
      <c r="I18" s="146">
        <f t="shared" si="5"/>
        <v>0</v>
      </c>
      <c r="J18" s="146">
        <f t="shared" si="5"/>
        <v>0</v>
      </c>
      <c r="K18" s="146">
        <f t="shared" si="5"/>
        <v>0</v>
      </c>
      <c r="L18" s="146">
        <f t="shared" si="5"/>
        <v>0</v>
      </c>
      <c r="M18" s="146">
        <f t="shared" si="5"/>
        <v>0</v>
      </c>
      <c r="N18" s="146">
        <f t="shared" si="5"/>
        <v>0</v>
      </c>
      <c r="O18" s="146">
        <f t="shared" si="5"/>
        <v>0</v>
      </c>
      <c r="P18" s="146">
        <f t="shared" si="5"/>
        <v>0</v>
      </c>
      <c r="Q18" s="146">
        <f t="shared" si="5"/>
        <v>0</v>
      </c>
      <c r="R18" s="146">
        <f t="shared" si="5"/>
        <v>0</v>
      </c>
      <c r="S18" s="146">
        <f t="shared" si="5"/>
        <v>0</v>
      </c>
      <c r="T18" s="146">
        <f t="shared" si="5"/>
        <v>0</v>
      </c>
      <c r="U18" s="146">
        <f t="shared" si="5"/>
        <v>1000</v>
      </c>
      <c r="V18" s="147">
        <f>SUMIF($D$6:$R$6,$X$2,D18:R18)/U18</f>
        <v>0</v>
      </c>
      <c r="W18" s="147">
        <f t="shared" ref="W18" si="6">T18/U18</f>
        <v>0</v>
      </c>
    </row>
    <row r="19" spans="1:25" ht="20.100000000000001" customHeight="1" x14ac:dyDescent="0.2">
      <c r="A19" s="148"/>
      <c r="B19" s="148"/>
      <c r="C19" s="148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50"/>
      <c r="W19" s="150"/>
    </row>
    <row r="20" spans="1:25" ht="20.100000000000001" customHeight="1" x14ac:dyDescent="0.2">
      <c r="A20" s="148"/>
      <c r="B20" s="148"/>
      <c r="C20" s="148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50"/>
      <c r="W20" s="150"/>
    </row>
    <row r="21" spans="1:25" ht="20.100000000000001" customHeight="1" x14ac:dyDescent="0.2">
      <c r="A21" s="145" t="s">
        <v>82</v>
      </c>
      <c r="B21" s="145"/>
      <c r="C21" s="145"/>
      <c r="D21" s="152">
        <f t="shared" ref="D21:R21" si="7">D13-D18</f>
        <v>0</v>
      </c>
      <c r="E21" s="152">
        <f t="shared" si="7"/>
        <v>0</v>
      </c>
      <c r="F21" s="152">
        <f t="shared" si="7"/>
        <v>0</v>
      </c>
      <c r="G21" s="152">
        <f t="shared" si="7"/>
        <v>0</v>
      </c>
      <c r="H21" s="152">
        <f t="shared" si="7"/>
        <v>0</v>
      </c>
      <c r="I21" s="152">
        <f t="shared" si="7"/>
        <v>0</v>
      </c>
      <c r="J21" s="152">
        <f t="shared" si="7"/>
        <v>0</v>
      </c>
      <c r="K21" s="152">
        <f t="shared" si="7"/>
        <v>0</v>
      </c>
      <c r="L21" s="152">
        <f t="shared" si="7"/>
        <v>0</v>
      </c>
      <c r="M21" s="152">
        <f t="shared" si="7"/>
        <v>0</v>
      </c>
      <c r="N21" s="152">
        <f t="shared" si="7"/>
        <v>0</v>
      </c>
      <c r="O21" s="152">
        <f t="shared" si="7"/>
        <v>0</v>
      </c>
      <c r="P21" s="152">
        <f t="shared" si="7"/>
        <v>0</v>
      </c>
      <c r="Q21" s="152">
        <f t="shared" si="7"/>
        <v>0</v>
      </c>
      <c r="R21" s="152">
        <f t="shared" si="7"/>
        <v>0</v>
      </c>
      <c r="S21" s="146"/>
      <c r="T21" s="146"/>
      <c r="U21" s="146" t="s">
        <v>10</v>
      </c>
      <c r="V21" s="153"/>
      <c r="W21" s="153"/>
    </row>
    <row r="22" spans="1:25" ht="20.100000000000001" customHeight="1" x14ac:dyDescent="0.2">
      <c r="A22" s="145" t="s">
        <v>83</v>
      </c>
      <c r="B22" s="145"/>
      <c r="C22" s="145"/>
      <c r="D22" s="154">
        <f>D13-D18+D8+D9</f>
        <v>0</v>
      </c>
      <c r="E22" s="154">
        <f>D22+E21</f>
        <v>0</v>
      </c>
      <c r="F22" s="154">
        <f>E22+F21+F9</f>
        <v>0</v>
      </c>
      <c r="G22" s="154">
        <f t="shared" ref="G22:R22" si="8">F22+G21</f>
        <v>0</v>
      </c>
      <c r="H22" s="154">
        <f t="shared" si="8"/>
        <v>0</v>
      </c>
      <c r="I22" s="154">
        <f t="shared" si="8"/>
        <v>0</v>
      </c>
      <c r="J22" s="154">
        <f t="shared" si="8"/>
        <v>0</v>
      </c>
      <c r="K22" s="154">
        <f t="shared" si="8"/>
        <v>0</v>
      </c>
      <c r="L22" s="154">
        <f t="shared" si="8"/>
        <v>0</v>
      </c>
      <c r="M22" s="154">
        <f t="shared" si="8"/>
        <v>0</v>
      </c>
      <c r="N22" s="154">
        <f t="shared" si="8"/>
        <v>0</v>
      </c>
      <c r="O22" s="154">
        <f t="shared" si="8"/>
        <v>0</v>
      </c>
      <c r="P22" s="154">
        <f t="shared" si="8"/>
        <v>0</v>
      </c>
      <c r="Q22" s="154">
        <f t="shared" si="8"/>
        <v>0</v>
      </c>
      <c r="R22" s="154">
        <f t="shared" si="8"/>
        <v>0</v>
      </c>
      <c r="S22" s="155"/>
      <c r="T22" s="155"/>
      <c r="U22" s="155" t="s">
        <v>10</v>
      </c>
      <c r="V22" s="156" t="s">
        <v>10</v>
      </c>
      <c r="W22" s="156">
        <v>0.01</v>
      </c>
    </row>
    <row r="23" spans="1:25" ht="20.100000000000001" customHeight="1" x14ac:dyDescent="0.2">
      <c r="A23" s="157"/>
      <c r="B23" s="135"/>
      <c r="C23" s="135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60"/>
      <c r="T23" s="161"/>
      <c r="U23" s="158"/>
      <c r="V23" s="158"/>
      <c r="W23" s="158"/>
      <c r="X23" s="15"/>
    </row>
    <row r="24" spans="1:25" ht="20.100000000000001" customHeight="1" x14ac:dyDescent="0.25">
      <c r="A24" s="162" t="s">
        <v>115</v>
      </c>
      <c r="B24" s="163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64"/>
      <c r="Q24" s="164"/>
      <c r="R24" s="164"/>
      <c r="S24" s="164"/>
      <c r="T24" s="165"/>
      <c r="U24" s="165"/>
      <c r="V24" s="166"/>
      <c r="W24" s="166"/>
      <c r="X24" s="85"/>
      <c r="Y24" s="15"/>
    </row>
    <row r="25" spans="1:25" ht="20.100000000000001" customHeight="1" x14ac:dyDescent="0.25">
      <c r="A25" s="167">
        <v>501</v>
      </c>
      <c r="B25" s="163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64"/>
      <c r="Q25" s="164"/>
      <c r="R25" s="164"/>
      <c r="S25" s="164"/>
      <c r="T25" s="165"/>
      <c r="U25" s="165"/>
      <c r="V25" s="166"/>
      <c r="W25" s="166"/>
      <c r="X25" s="85"/>
      <c r="Y25" s="15"/>
    </row>
    <row r="26" spans="1:25" ht="20.100000000000001" customHeight="1" x14ac:dyDescent="0.25">
      <c r="A26" s="167"/>
      <c r="B26" s="163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64"/>
      <c r="Q26" s="164"/>
      <c r="R26" s="164"/>
      <c r="S26" s="164"/>
      <c r="T26" s="165"/>
      <c r="U26" s="165"/>
      <c r="V26" s="166"/>
      <c r="W26" s="166"/>
      <c r="X26" s="85"/>
      <c r="Y26" s="15"/>
    </row>
    <row r="27" spans="1:25" ht="20.100000000000001" customHeight="1" x14ac:dyDescent="0.25">
      <c r="A27" s="167"/>
      <c r="B27" s="163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64"/>
      <c r="Q27" s="164"/>
      <c r="R27" s="164"/>
      <c r="S27" s="164"/>
      <c r="T27" s="165"/>
      <c r="U27" s="165"/>
      <c r="V27" s="166"/>
      <c r="W27" s="166"/>
      <c r="X27" s="85"/>
      <c r="Y27" s="15"/>
    </row>
    <row r="28" spans="1:25" ht="20.100000000000001" customHeight="1" x14ac:dyDescent="0.25">
      <c r="A28" s="164"/>
      <c r="B28" s="163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64"/>
      <c r="P28" s="164"/>
      <c r="Q28" s="164"/>
      <c r="R28" s="164"/>
      <c r="S28" s="164"/>
      <c r="T28" s="165"/>
      <c r="U28" s="165"/>
      <c r="V28" s="166"/>
      <c r="W28" s="166"/>
      <c r="X28" s="85"/>
      <c r="Y28" s="15"/>
    </row>
    <row r="29" spans="1:25" ht="20.100000000000001" customHeight="1" x14ac:dyDescent="0.25">
      <c r="A29" s="162" t="s">
        <v>122</v>
      </c>
      <c r="B29" s="163"/>
      <c r="C29" s="164"/>
      <c r="D29" s="164"/>
      <c r="E29" s="164"/>
      <c r="F29" s="164"/>
      <c r="G29" s="164"/>
      <c r="H29" s="157"/>
      <c r="I29" s="157"/>
      <c r="J29" s="157"/>
      <c r="K29" s="157"/>
      <c r="L29" s="157"/>
      <c r="M29" s="157"/>
      <c r="N29" s="157"/>
      <c r="O29" s="164"/>
      <c r="P29" s="164"/>
      <c r="Q29" s="164"/>
      <c r="R29" s="164"/>
      <c r="S29" s="164"/>
      <c r="T29" s="165"/>
      <c r="U29" s="165"/>
      <c r="V29" s="166"/>
      <c r="W29" s="166"/>
      <c r="X29" s="85"/>
      <c r="Y29" s="15"/>
    </row>
    <row r="30" spans="1:25" ht="20.100000000000001" customHeight="1" x14ac:dyDescent="0.25">
      <c r="A30" s="167">
        <v>705</v>
      </c>
      <c r="B30" s="168"/>
      <c r="C30" s="157"/>
      <c r="D30" s="157"/>
      <c r="E30" s="157"/>
      <c r="F30" s="157"/>
      <c r="G30" s="157"/>
      <c r="H30" s="164"/>
      <c r="I30" s="166"/>
      <c r="J30" s="166"/>
      <c r="K30" s="166"/>
      <c r="L30" s="166"/>
      <c r="M30" s="166"/>
      <c r="N30" s="166"/>
      <c r="O30" s="164"/>
      <c r="P30" s="164"/>
      <c r="Q30" s="164"/>
      <c r="R30" s="164"/>
      <c r="S30" s="164"/>
      <c r="T30" s="165"/>
      <c r="U30" s="165"/>
      <c r="V30" s="169"/>
      <c r="W30" s="169"/>
      <c r="X30" s="86"/>
      <c r="Y30" s="15"/>
    </row>
    <row r="31" spans="1:25" ht="20.100000000000001" customHeight="1" x14ac:dyDescent="0.25">
      <c r="A31" s="167"/>
      <c r="B31" s="168"/>
      <c r="C31" s="164"/>
      <c r="D31" s="164"/>
      <c r="E31" s="164"/>
      <c r="F31" s="164"/>
      <c r="G31" s="164"/>
      <c r="H31" s="166"/>
      <c r="I31" s="166"/>
      <c r="J31" s="166"/>
      <c r="K31" s="166"/>
      <c r="L31" s="166"/>
      <c r="M31" s="166"/>
      <c r="N31" s="166"/>
      <c r="O31" s="164"/>
      <c r="P31" s="164"/>
      <c r="Q31" s="164"/>
      <c r="R31" s="164"/>
      <c r="S31" s="164"/>
      <c r="T31" s="165"/>
      <c r="U31" s="165"/>
      <c r="V31" s="169"/>
      <c r="W31" s="169"/>
      <c r="X31" s="86"/>
      <c r="Y31" s="15"/>
    </row>
    <row r="32" spans="1:25" ht="20.100000000000001" customHeight="1" x14ac:dyDescent="0.25">
      <c r="A32" s="164"/>
      <c r="B32" s="168"/>
      <c r="C32" s="318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9"/>
      <c r="O32" s="164"/>
      <c r="P32" s="164"/>
      <c r="Q32" s="164"/>
      <c r="R32" s="164"/>
      <c r="S32" s="164"/>
      <c r="T32" s="165"/>
      <c r="U32" s="165"/>
      <c r="V32" s="169"/>
      <c r="W32" s="169"/>
      <c r="X32" s="86"/>
      <c r="Y32" s="15"/>
    </row>
    <row r="33" spans="1:25" ht="20.100000000000001" customHeight="1" x14ac:dyDescent="0.25">
      <c r="A33" s="167"/>
      <c r="B33" s="168"/>
      <c r="C33" s="164"/>
      <c r="D33" s="166"/>
      <c r="E33" s="166"/>
      <c r="F33" s="166"/>
      <c r="G33" s="166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5"/>
      <c r="V33" s="169"/>
      <c r="W33" s="169"/>
      <c r="X33" s="86"/>
      <c r="Y33" s="15"/>
    </row>
    <row r="34" spans="1:25" ht="20.100000000000001" customHeight="1" x14ac:dyDescent="0.25">
      <c r="A34" s="167"/>
      <c r="B34" s="168"/>
      <c r="C34" s="170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5"/>
      <c r="U34" s="165"/>
      <c r="V34" s="169"/>
      <c r="W34" s="169"/>
      <c r="X34" s="86"/>
      <c r="Y34" s="15"/>
    </row>
    <row r="35" spans="1:25" ht="20.100000000000001" customHeight="1" x14ac:dyDescent="0.25">
      <c r="A35" s="167"/>
      <c r="B35" s="168"/>
      <c r="D35" s="164"/>
      <c r="E35" s="164"/>
      <c r="F35" s="164"/>
      <c r="G35" s="164"/>
      <c r="H35" s="166"/>
      <c r="I35" s="157"/>
      <c r="J35" s="166"/>
      <c r="K35" s="166"/>
      <c r="L35" s="166"/>
      <c r="M35" s="166"/>
      <c r="N35" s="169"/>
      <c r="O35" s="164"/>
      <c r="P35" s="164"/>
      <c r="Q35" s="164"/>
      <c r="R35" s="164"/>
      <c r="S35" s="164"/>
      <c r="T35" s="165"/>
      <c r="U35" s="165"/>
      <c r="V35" s="169"/>
      <c r="W35" s="169"/>
      <c r="X35" s="86"/>
      <c r="Y35" s="15"/>
    </row>
    <row r="36" spans="1:25" ht="20.100000000000001" customHeight="1" x14ac:dyDescent="0.25">
      <c r="A36" s="171"/>
      <c r="B36" s="168"/>
      <c r="C36" s="164"/>
      <c r="D36" s="164"/>
      <c r="E36" s="164"/>
      <c r="F36" s="164"/>
      <c r="G36" s="164"/>
      <c r="H36" s="166"/>
      <c r="I36" s="157"/>
      <c r="J36" s="166"/>
      <c r="K36" s="166"/>
      <c r="L36" s="166"/>
      <c r="M36" s="166"/>
      <c r="N36" s="169"/>
      <c r="O36" s="164"/>
      <c r="P36" s="164"/>
      <c r="Q36" s="164"/>
      <c r="R36" s="164"/>
      <c r="S36" s="164"/>
      <c r="T36" s="165"/>
      <c r="U36" s="165"/>
      <c r="V36" s="169"/>
      <c r="W36" s="169"/>
      <c r="X36" s="86"/>
      <c r="Y36" s="15"/>
    </row>
    <row r="37" spans="1:25" ht="20.100000000000001" customHeight="1" x14ac:dyDescent="0.25">
      <c r="A37" s="164"/>
      <c r="B37" s="168"/>
      <c r="C37" s="164"/>
      <c r="D37" s="164"/>
      <c r="E37" s="164"/>
      <c r="F37" s="164"/>
      <c r="G37" s="164"/>
      <c r="H37" s="166"/>
      <c r="I37" s="157"/>
      <c r="J37" s="166"/>
      <c r="K37" s="166"/>
      <c r="L37" s="166"/>
      <c r="M37" s="166"/>
      <c r="N37" s="169"/>
      <c r="O37" s="164"/>
      <c r="P37" s="164"/>
      <c r="Q37" s="164"/>
      <c r="R37" s="164"/>
      <c r="S37" s="164"/>
      <c r="T37" s="165"/>
      <c r="U37" s="165"/>
      <c r="V37" s="169"/>
      <c r="W37" s="169"/>
      <c r="X37" s="86"/>
      <c r="Y37" s="15"/>
    </row>
    <row r="38" spans="1:25" ht="20.100000000000001" customHeight="1" x14ac:dyDescent="0.25">
      <c r="A38" s="167"/>
      <c r="B38" s="163"/>
      <c r="C38" s="164"/>
      <c r="D38" s="164"/>
      <c r="E38" s="164"/>
      <c r="F38" s="164"/>
      <c r="G38" s="164"/>
      <c r="H38" s="166"/>
      <c r="I38" s="157"/>
      <c r="J38" s="166"/>
      <c r="K38" s="166"/>
      <c r="L38" s="166"/>
      <c r="M38" s="166"/>
      <c r="N38" s="169"/>
      <c r="O38" s="164"/>
      <c r="P38" s="164"/>
      <c r="Q38" s="164"/>
      <c r="R38" s="164"/>
      <c r="S38" s="164"/>
      <c r="T38" s="165"/>
      <c r="U38" s="165"/>
      <c r="V38" s="169"/>
      <c r="W38" s="169"/>
      <c r="X38" s="86"/>
      <c r="Y38" s="15"/>
    </row>
    <row r="39" spans="1:25" ht="20.100000000000001" customHeight="1" x14ac:dyDescent="0.25">
      <c r="A39" s="167"/>
      <c r="B39" s="163"/>
      <c r="C39" s="164"/>
      <c r="D39" s="164"/>
      <c r="E39" s="164"/>
      <c r="F39" s="164"/>
      <c r="G39" s="164"/>
      <c r="H39" s="166"/>
      <c r="I39" s="157"/>
      <c r="J39" s="166"/>
      <c r="K39" s="166"/>
      <c r="L39" s="166"/>
      <c r="M39" s="166"/>
      <c r="N39" s="169"/>
      <c r="O39" s="164"/>
      <c r="P39" s="164"/>
      <c r="Q39" s="164"/>
      <c r="R39" s="164"/>
      <c r="S39" s="164"/>
      <c r="T39" s="165"/>
      <c r="U39" s="165"/>
      <c r="V39" s="169"/>
      <c r="W39" s="169"/>
      <c r="X39" s="86"/>
      <c r="Y39" s="15"/>
    </row>
    <row r="40" spans="1:25" ht="20.100000000000001" customHeight="1" x14ac:dyDescent="0.25">
      <c r="A40" s="167"/>
      <c r="B40" s="163"/>
      <c r="C40" s="164"/>
      <c r="D40" s="164"/>
      <c r="E40" s="164"/>
      <c r="F40" s="164"/>
      <c r="G40" s="164"/>
      <c r="H40" s="166"/>
      <c r="I40" s="157"/>
      <c r="J40" s="166"/>
      <c r="K40" s="166"/>
      <c r="L40" s="166"/>
      <c r="M40" s="166"/>
      <c r="N40" s="169"/>
      <c r="O40" s="164"/>
      <c r="P40" s="164"/>
      <c r="Q40" s="164"/>
      <c r="R40" s="164"/>
      <c r="S40" s="164"/>
      <c r="T40" s="165"/>
      <c r="U40" s="165"/>
      <c r="V40" s="169"/>
      <c r="W40" s="169"/>
      <c r="X40" s="86"/>
      <c r="Y40" s="15"/>
    </row>
    <row r="41" spans="1:25" ht="20.100000000000001" customHeight="1" x14ac:dyDescent="0.25">
      <c r="A41" s="167"/>
      <c r="B41" s="163"/>
      <c r="C41" s="164"/>
      <c r="D41" s="164"/>
      <c r="E41" s="164"/>
      <c r="F41" s="164"/>
      <c r="G41" s="164"/>
      <c r="H41" s="166"/>
      <c r="I41" s="157"/>
      <c r="J41" s="166"/>
      <c r="K41" s="166"/>
      <c r="L41" s="166"/>
      <c r="M41" s="166"/>
      <c r="N41" s="169"/>
      <c r="O41" s="164"/>
      <c r="P41" s="164"/>
      <c r="Q41" s="164"/>
      <c r="R41" s="164"/>
      <c r="S41" s="164"/>
      <c r="T41" s="165"/>
      <c r="U41" s="165"/>
      <c r="V41" s="169"/>
      <c r="W41" s="169"/>
      <c r="X41" s="86"/>
      <c r="Y41" s="15"/>
    </row>
    <row r="42" spans="1:25" ht="20.100000000000001" customHeight="1" x14ac:dyDescent="0.25">
      <c r="A42" s="164"/>
      <c r="B42" s="164"/>
      <c r="C42" s="170"/>
      <c r="D42" s="166"/>
      <c r="E42" s="166"/>
      <c r="F42" s="166"/>
      <c r="G42" s="166"/>
      <c r="H42" s="172"/>
      <c r="I42" s="157"/>
      <c r="J42" s="166"/>
      <c r="K42" s="166"/>
      <c r="L42" s="166"/>
      <c r="M42" s="166"/>
      <c r="N42" s="169"/>
      <c r="O42" s="164"/>
      <c r="P42" s="169"/>
      <c r="Q42" s="169"/>
      <c r="R42" s="169"/>
      <c r="S42" s="169"/>
      <c r="T42" s="169"/>
      <c r="U42" s="169"/>
      <c r="V42" s="169"/>
      <c r="W42" s="169"/>
      <c r="X42" s="86"/>
      <c r="Y42" s="15"/>
    </row>
    <row r="43" spans="1:25" ht="18" x14ac:dyDescent="0.25">
      <c r="A43" s="173"/>
      <c r="B43" s="172"/>
      <c r="C43" s="172"/>
      <c r="D43" s="173"/>
      <c r="E43" s="172"/>
      <c r="F43" s="172"/>
      <c r="G43" s="172"/>
      <c r="H43" s="172"/>
      <c r="I43" s="157"/>
      <c r="J43" s="166"/>
      <c r="K43" s="166"/>
      <c r="L43" s="166"/>
      <c r="M43" s="166"/>
      <c r="N43" s="169"/>
      <c r="O43" s="164"/>
      <c r="P43" s="169"/>
      <c r="Q43" s="169"/>
      <c r="R43" s="169"/>
      <c r="S43" s="169"/>
      <c r="T43" s="169"/>
      <c r="U43" s="169"/>
      <c r="V43" s="169"/>
      <c r="W43" s="169"/>
      <c r="X43" s="86"/>
      <c r="Y43" s="15"/>
    </row>
    <row r="44" spans="1:25" ht="20.100000000000001" customHeight="1" x14ac:dyDescent="0.25">
      <c r="A44" s="176"/>
      <c r="B44" s="172"/>
      <c r="C44" s="172"/>
      <c r="D44" s="176"/>
      <c r="E44" s="172"/>
      <c r="F44" s="172"/>
      <c r="G44" s="172"/>
      <c r="H44" s="172"/>
      <c r="I44" s="157"/>
      <c r="J44" s="166"/>
      <c r="K44" s="166"/>
      <c r="L44" s="166"/>
      <c r="M44" s="166"/>
      <c r="N44" s="169"/>
      <c r="O44" s="164"/>
      <c r="P44" s="169"/>
      <c r="Q44" s="169"/>
      <c r="R44" s="169"/>
      <c r="S44" s="169"/>
      <c r="T44" s="169"/>
      <c r="U44" s="169"/>
      <c r="V44" s="168"/>
      <c r="W44" s="169"/>
      <c r="X44" s="86"/>
      <c r="Y44" s="15"/>
    </row>
    <row r="45" spans="1:25" ht="20.100000000000001" customHeight="1" x14ac:dyDescent="0.25">
      <c r="A45" s="176"/>
      <c r="B45" s="172"/>
      <c r="C45" s="172"/>
      <c r="D45" s="176"/>
      <c r="E45" s="172"/>
      <c r="F45" s="172"/>
      <c r="G45" s="172"/>
      <c r="H45" s="172"/>
      <c r="I45" s="157"/>
      <c r="J45" s="166"/>
      <c r="K45" s="166"/>
      <c r="L45" s="166"/>
      <c r="M45" s="166"/>
      <c r="N45" s="169"/>
      <c r="O45" s="164"/>
      <c r="P45" s="169"/>
      <c r="Q45" s="169"/>
      <c r="R45" s="169"/>
      <c r="S45" s="169"/>
      <c r="T45" s="169"/>
      <c r="U45" s="169"/>
      <c r="V45" s="168"/>
      <c r="W45" s="169"/>
      <c r="X45" s="86"/>
      <c r="Y45" s="15"/>
    </row>
    <row r="46" spans="1:25" ht="20.100000000000001" customHeight="1" x14ac:dyDescent="0.25">
      <c r="A46" s="422"/>
      <c r="B46" s="422"/>
      <c r="C46" s="164"/>
      <c r="D46" s="422"/>
      <c r="E46" s="422"/>
      <c r="F46" s="164"/>
      <c r="G46" s="164"/>
      <c r="H46" s="164"/>
      <c r="I46" s="164"/>
      <c r="J46" s="166"/>
      <c r="K46" s="166"/>
      <c r="L46" s="166"/>
      <c r="M46" s="166"/>
      <c r="N46" s="169"/>
      <c r="O46" s="164"/>
      <c r="P46" s="169"/>
      <c r="Q46" s="169"/>
      <c r="R46" s="169"/>
      <c r="S46" s="169"/>
      <c r="T46" s="169"/>
      <c r="U46" s="169"/>
      <c r="V46" s="177"/>
      <c r="W46" s="178"/>
      <c r="X46" s="134"/>
      <c r="Y46" s="15"/>
    </row>
    <row r="47" spans="1:25" ht="20.100000000000001" customHeight="1" x14ac:dyDescent="0.25">
      <c r="A47" s="422"/>
      <c r="B47" s="422"/>
      <c r="C47" s="164"/>
      <c r="D47" s="422"/>
      <c r="E47" s="422"/>
      <c r="F47" s="164"/>
      <c r="G47" s="164"/>
      <c r="H47" s="164"/>
      <c r="I47" s="164"/>
      <c r="J47" s="166"/>
      <c r="K47" s="166"/>
      <c r="L47" s="166"/>
      <c r="M47" s="166"/>
      <c r="N47" s="169"/>
      <c r="O47" s="164"/>
      <c r="P47" s="169"/>
      <c r="Q47" s="169"/>
      <c r="R47" s="169"/>
      <c r="S47" s="169"/>
      <c r="T47" s="169"/>
      <c r="U47" s="169"/>
      <c r="V47" s="177"/>
      <c r="W47" s="177"/>
      <c r="X47" s="99"/>
    </row>
    <row r="48" spans="1:25" ht="20.100000000000001" customHeight="1" x14ac:dyDescent="0.25">
      <c r="A48" s="422"/>
      <c r="B48" s="422"/>
      <c r="C48" s="164"/>
      <c r="D48" s="422"/>
      <c r="E48" s="422"/>
      <c r="F48" s="164"/>
      <c r="G48" s="164"/>
      <c r="H48" s="164"/>
      <c r="I48" s="164"/>
      <c r="J48" s="166"/>
      <c r="K48" s="166"/>
      <c r="L48" s="166"/>
      <c r="M48" s="166"/>
      <c r="N48" s="169"/>
      <c r="O48" s="164"/>
      <c r="P48" s="169"/>
      <c r="Q48" s="169"/>
      <c r="R48" s="169"/>
      <c r="S48" s="169"/>
      <c r="T48" s="169"/>
      <c r="U48" s="169"/>
      <c r="V48" s="177"/>
      <c r="W48" s="177"/>
      <c r="X48" s="99"/>
    </row>
    <row r="49" spans="1:31" ht="20.100000000000001" customHeight="1" x14ac:dyDescent="0.25">
      <c r="A49" s="422"/>
      <c r="B49" s="422"/>
      <c r="C49" s="164"/>
      <c r="D49" s="422"/>
      <c r="E49" s="422"/>
      <c r="F49" s="164"/>
      <c r="G49" s="164"/>
      <c r="H49" s="164"/>
      <c r="I49" s="164"/>
      <c r="J49" s="166"/>
      <c r="K49" s="166"/>
      <c r="L49" s="166"/>
      <c r="M49" s="166"/>
      <c r="N49" s="169"/>
      <c r="O49" s="164"/>
      <c r="P49" s="169"/>
      <c r="Q49" s="169"/>
      <c r="R49" s="169"/>
      <c r="S49" s="169"/>
      <c r="T49" s="169"/>
      <c r="U49" s="169"/>
      <c r="V49" s="168"/>
      <c r="W49" s="168"/>
      <c r="X49" s="77"/>
    </row>
    <row r="50" spans="1:31" ht="20.100000000000001" customHeight="1" x14ac:dyDescent="0.25">
      <c r="A50" s="174"/>
      <c r="B50" s="172"/>
      <c r="C50" s="163"/>
      <c r="D50" s="174"/>
      <c r="E50" s="172"/>
      <c r="F50" s="163"/>
      <c r="G50" s="172"/>
      <c r="H50" s="172"/>
      <c r="I50" s="157"/>
      <c r="J50" s="166"/>
      <c r="K50" s="166"/>
      <c r="L50" s="166"/>
      <c r="M50" s="166"/>
      <c r="N50" s="169"/>
      <c r="O50" s="164"/>
      <c r="P50" s="169"/>
      <c r="Q50" s="169"/>
      <c r="R50" s="169"/>
      <c r="S50" s="169"/>
      <c r="T50" s="169"/>
      <c r="U50" s="169"/>
      <c r="V50" s="181"/>
      <c r="W50" s="168"/>
      <c r="X50" s="77"/>
    </row>
    <row r="51" spans="1:31" ht="20.100000000000001" customHeight="1" x14ac:dyDescent="0.25">
      <c r="A51" s="174"/>
      <c r="B51" s="172"/>
      <c r="C51" s="172"/>
      <c r="D51" s="174"/>
      <c r="E51" s="172"/>
      <c r="F51" s="172"/>
      <c r="G51" s="172"/>
      <c r="H51" s="172"/>
      <c r="I51" s="157"/>
      <c r="J51" s="166"/>
      <c r="K51" s="166"/>
      <c r="L51" s="166"/>
      <c r="M51" s="166"/>
      <c r="N51" s="169"/>
      <c r="O51" s="164"/>
      <c r="P51" s="169"/>
      <c r="Q51" s="169"/>
      <c r="R51" s="169"/>
      <c r="S51" s="169"/>
      <c r="T51" s="169"/>
      <c r="U51" s="169"/>
      <c r="V51" s="181"/>
      <c r="W51" s="168"/>
      <c r="X51" s="77"/>
    </row>
    <row r="52" spans="1:31" ht="20.100000000000001" customHeight="1" x14ac:dyDescent="0.25">
      <c r="A52" s="422"/>
      <c r="B52" s="422"/>
      <c r="C52" s="174"/>
      <c r="D52" s="422"/>
      <c r="E52" s="422"/>
      <c r="F52" s="174"/>
      <c r="G52" s="172"/>
      <c r="H52" s="172"/>
      <c r="I52" s="157"/>
      <c r="J52" s="157"/>
      <c r="K52" s="157"/>
      <c r="L52" s="157"/>
      <c r="M52" s="157"/>
      <c r="N52" s="164"/>
      <c r="O52" s="164"/>
      <c r="P52" s="169"/>
      <c r="Q52" s="169"/>
      <c r="R52" s="169"/>
      <c r="S52" s="169"/>
      <c r="T52" s="169"/>
      <c r="U52" s="169"/>
      <c r="V52" s="168"/>
      <c r="W52" s="168"/>
      <c r="X52" s="14"/>
    </row>
    <row r="53" spans="1:31" ht="20.100000000000001" customHeight="1" x14ac:dyDescent="0.25">
      <c r="A53" s="422"/>
      <c r="B53" s="422"/>
      <c r="C53" s="172"/>
      <c r="D53" s="422"/>
      <c r="E53" s="422"/>
      <c r="F53" s="172"/>
      <c r="G53" s="172"/>
      <c r="H53" s="172"/>
      <c r="I53" s="182"/>
      <c r="J53" s="157"/>
      <c r="K53" s="157"/>
      <c r="L53" s="157"/>
      <c r="M53" s="157"/>
      <c r="N53" s="164"/>
      <c r="O53" s="164"/>
      <c r="P53" s="169"/>
      <c r="Q53" s="169"/>
      <c r="R53" s="169"/>
      <c r="S53" s="169"/>
      <c r="T53" s="169"/>
      <c r="U53" s="169"/>
      <c r="V53" s="168"/>
      <c r="W53" s="168"/>
      <c r="X53" s="14"/>
    </row>
    <row r="54" spans="1:31" s="14" customFormat="1" ht="20.100000000000001" customHeight="1" x14ac:dyDescent="0.25">
      <c r="A54" s="176"/>
      <c r="B54" s="237"/>
      <c r="C54" s="172"/>
      <c r="D54" s="176"/>
      <c r="E54" s="183"/>
      <c r="F54" s="172"/>
      <c r="G54" s="172"/>
      <c r="H54" s="163"/>
      <c r="I54" s="182"/>
      <c r="J54" s="157"/>
      <c r="K54" s="157"/>
      <c r="L54" s="157"/>
      <c r="M54" s="157"/>
      <c r="N54" s="164"/>
      <c r="O54" s="184"/>
      <c r="P54" s="169"/>
      <c r="Q54" s="169"/>
      <c r="R54" s="169"/>
      <c r="S54" s="169"/>
      <c r="T54" s="169"/>
      <c r="U54" s="169"/>
      <c r="V54" s="181"/>
      <c r="W54" s="181"/>
    </row>
    <row r="55" spans="1:31" s="14" customFormat="1" ht="20.100000000000001" customHeight="1" x14ac:dyDescent="0.25">
      <c r="A55" s="176"/>
      <c r="B55" s="172"/>
      <c r="C55" s="172"/>
      <c r="D55" s="176"/>
      <c r="E55" s="172"/>
      <c r="F55" s="172"/>
      <c r="G55" s="163"/>
      <c r="H55" s="163"/>
      <c r="I55" s="157"/>
      <c r="J55" s="157"/>
      <c r="K55" s="157"/>
      <c r="L55" s="157"/>
      <c r="M55" s="157"/>
      <c r="N55" s="164"/>
      <c r="O55" s="184"/>
      <c r="P55" s="169"/>
      <c r="Q55" s="169"/>
      <c r="R55" s="169"/>
      <c r="S55" s="169"/>
      <c r="T55" s="169"/>
      <c r="U55" s="169"/>
      <c r="V55" s="181"/>
      <c r="W55" s="181"/>
    </row>
    <row r="56" spans="1:31" s="14" customFormat="1" ht="20.100000000000001" customHeight="1" x14ac:dyDescent="0.25">
      <c r="A56" s="176" t="s">
        <v>240</v>
      </c>
      <c r="B56" s="172"/>
      <c r="C56" s="172"/>
      <c r="D56" s="176"/>
      <c r="E56" s="172"/>
      <c r="F56" s="172"/>
      <c r="G56" s="163"/>
      <c r="H56" s="163"/>
      <c r="I56" s="157"/>
      <c r="J56" s="157"/>
      <c r="K56" s="157"/>
      <c r="L56" s="157"/>
      <c r="M56" s="157"/>
      <c r="N56" s="164"/>
      <c r="O56" s="184"/>
      <c r="P56" s="169"/>
      <c r="Q56" s="169"/>
      <c r="R56" s="169"/>
      <c r="S56" s="169"/>
      <c r="T56" s="169"/>
      <c r="U56" s="169"/>
      <c r="V56" s="181"/>
      <c r="W56" s="181"/>
    </row>
    <row r="57" spans="1:31" ht="20.100000000000001" customHeight="1" x14ac:dyDescent="0.25">
      <c r="A57" s="157">
        <v>234</v>
      </c>
      <c r="B57" s="322" t="s">
        <v>241</v>
      </c>
      <c r="C57" s="172"/>
      <c r="D57" s="422"/>
      <c r="E57" s="422"/>
      <c r="F57" s="172"/>
      <c r="G57" s="163"/>
      <c r="H57" s="163"/>
      <c r="I57" s="157"/>
      <c r="J57" s="157"/>
      <c r="K57" s="157"/>
      <c r="L57" s="157"/>
      <c r="M57" s="157"/>
      <c r="N57" s="185"/>
      <c r="O57" s="164"/>
      <c r="P57" s="169"/>
      <c r="Q57" s="169"/>
      <c r="R57" s="169"/>
      <c r="S57" s="169"/>
      <c r="T57" s="169"/>
      <c r="U57" s="169"/>
      <c r="V57" s="181"/>
      <c r="W57" s="181"/>
      <c r="X57" s="14"/>
    </row>
    <row r="58" spans="1:31" ht="20.100000000000001" customHeight="1" x14ac:dyDescent="0.25">
      <c r="A58" s="422"/>
      <c r="B58" s="422"/>
      <c r="C58" s="163"/>
      <c r="D58" s="422"/>
      <c r="E58" s="422"/>
      <c r="F58" s="163"/>
      <c r="G58" s="163"/>
      <c r="H58" s="182"/>
      <c r="I58" s="182"/>
      <c r="J58" s="180"/>
      <c r="K58" s="180"/>
      <c r="L58" s="180"/>
      <c r="M58" s="180"/>
      <c r="N58" s="184"/>
      <c r="O58" s="184"/>
      <c r="P58" s="169"/>
      <c r="Q58" s="169"/>
      <c r="R58" s="169"/>
      <c r="S58" s="169"/>
      <c r="T58" s="169"/>
      <c r="U58" s="169"/>
      <c r="V58" s="181"/>
      <c r="W58" s="181"/>
      <c r="X58" s="14"/>
    </row>
    <row r="59" spans="1:31" ht="20.100000000000001" customHeight="1" x14ac:dyDescent="0.25">
      <c r="A59" s="321"/>
      <c r="B59" s="321"/>
      <c r="C59" s="164"/>
      <c r="D59" s="172"/>
      <c r="E59" s="164"/>
      <c r="F59" s="164"/>
      <c r="G59" s="164"/>
      <c r="H59" s="164"/>
      <c r="I59" s="164"/>
      <c r="J59" s="180"/>
      <c r="K59" s="180"/>
      <c r="L59" s="180"/>
      <c r="M59" s="180"/>
      <c r="N59" s="184"/>
      <c r="O59" s="184"/>
      <c r="P59" s="169"/>
      <c r="Q59" s="169"/>
      <c r="R59" s="169"/>
      <c r="S59" s="169"/>
      <c r="T59" s="169"/>
      <c r="U59" s="169"/>
      <c r="V59" s="181"/>
      <c r="W59" s="181"/>
      <c r="X59" s="14"/>
    </row>
    <row r="60" spans="1:31" s="8" customFormat="1" ht="20.100000000000001" customHeight="1" x14ac:dyDescent="0.25">
      <c r="A60" s="172"/>
      <c r="B60" s="164"/>
      <c r="C60" s="187"/>
      <c r="D60" s="157"/>
      <c r="E60" s="183"/>
      <c r="F60" s="187"/>
      <c r="G60" s="187"/>
      <c r="H60" s="187"/>
      <c r="I60" s="187"/>
      <c r="J60" s="180"/>
      <c r="K60" s="180"/>
      <c r="L60" s="180"/>
      <c r="M60" s="180"/>
      <c r="N60" s="184"/>
      <c r="O60" s="184"/>
      <c r="P60" s="169"/>
      <c r="Q60" s="169"/>
      <c r="R60" s="169"/>
      <c r="S60" s="169"/>
      <c r="T60" s="169"/>
      <c r="U60" s="169"/>
      <c r="V60" s="181"/>
      <c r="W60" s="181"/>
      <c r="X60" s="14"/>
      <c r="Y60"/>
      <c r="Z60"/>
      <c r="AA60"/>
      <c r="AB60"/>
      <c r="AC60"/>
      <c r="AD60"/>
      <c r="AE60"/>
    </row>
    <row r="61" spans="1:31" s="8" customFormat="1" ht="20.100000000000001" customHeight="1" x14ac:dyDescent="0.25">
      <c r="A61" s="157"/>
      <c r="B61" s="321"/>
      <c r="C61" s="187"/>
      <c r="D61" s="164"/>
      <c r="E61" s="164"/>
      <c r="F61" s="187"/>
      <c r="G61" s="187"/>
      <c r="H61" s="187"/>
      <c r="I61" s="187"/>
      <c r="J61" s="157"/>
      <c r="K61" s="157"/>
      <c r="L61" s="157"/>
      <c r="M61" s="157"/>
      <c r="N61" s="164"/>
      <c r="O61" s="164"/>
      <c r="P61" s="169"/>
      <c r="Q61" s="169"/>
      <c r="R61" s="169"/>
      <c r="S61" s="169"/>
      <c r="T61" s="169"/>
      <c r="U61" s="169"/>
      <c r="V61" s="181"/>
      <c r="W61" s="181"/>
      <c r="X61" s="14"/>
      <c r="Y61"/>
      <c r="Z61"/>
      <c r="AA61"/>
      <c r="AB61"/>
      <c r="AC61"/>
      <c r="AD61"/>
      <c r="AE61"/>
    </row>
    <row r="62" spans="1:31" ht="20.100000000000001" customHeight="1" x14ac:dyDescent="0.25">
      <c r="A62" s="164"/>
      <c r="B62" s="164"/>
      <c r="C62" s="164"/>
      <c r="D62" s="164"/>
      <c r="E62" s="164"/>
      <c r="F62" s="164"/>
      <c r="G62" s="164"/>
      <c r="H62" s="164"/>
      <c r="I62" s="164"/>
      <c r="J62" s="182"/>
      <c r="K62" s="182"/>
      <c r="L62" s="182"/>
      <c r="M62" s="182"/>
      <c r="N62" s="187"/>
      <c r="O62" s="187"/>
      <c r="P62" s="169"/>
      <c r="Q62" s="169"/>
      <c r="R62" s="169"/>
      <c r="S62" s="169"/>
      <c r="T62" s="169"/>
      <c r="U62" s="169"/>
      <c r="V62" s="181"/>
      <c r="W62" s="181"/>
      <c r="X62" s="14"/>
    </row>
    <row r="63" spans="1:31" ht="20.100000000000001" customHeight="1" x14ac:dyDescent="0.25">
      <c r="A63" s="164"/>
      <c r="B63" s="164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7"/>
      <c r="O63" s="187"/>
      <c r="P63" s="169"/>
      <c r="Q63" s="169"/>
      <c r="R63" s="169"/>
      <c r="S63" s="169"/>
      <c r="T63" s="169"/>
      <c r="U63" s="169"/>
      <c r="V63" s="181"/>
      <c r="W63" s="181"/>
      <c r="X63" s="14"/>
    </row>
    <row r="64" spans="1:31" ht="20.100000000000001" customHeight="1" x14ac:dyDescent="0.25">
      <c r="A64" s="182"/>
      <c r="B64" s="182"/>
      <c r="C64" s="182"/>
      <c r="D64" s="182"/>
      <c r="E64" s="182"/>
      <c r="F64" s="182"/>
      <c r="G64" s="182"/>
      <c r="H64" s="157"/>
      <c r="I64" s="157"/>
      <c r="J64" s="157"/>
      <c r="K64" s="157"/>
      <c r="L64" s="157"/>
      <c r="M64" s="157"/>
      <c r="N64" s="157"/>
      <c r="O64" s="157"/>
      <c r="P64" s="169"/>
      <c r="Q64" s="169"/>
      <c r="R64" s="169"/>
      <c r="S64" s="169"/>
      <c r="T64" s="169"/>
      <c r="U64" s="169"/>
      <c r="V64" s="181"/>
      <c r="W64" s="181"/>
      <c r="X64" s="14"/>
    </row>
    <row r="65" spans="1:24" ht="20.100000000000001" customHeight="1" x14ac:dyDescent="0.25">
      <c r="A65" s="182"/>
      <c r="B65" s="182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69"/>
      <c r="Q65" s="169"/>
      <c r="R65" s="169"/>
      <c r="S65" s="169"/>
      <c r="T65" s="169"/>
      <c r="U65" s="169"/>
      <c r="V65" s="181"/>
      <c r="W65" s="181"/>
      <c r="X65" s="14"/>
    </row>
    <row r="66" spans="1:24" ht="20.100000000000001" customHeight="1" x14ac:dyDescent="0.25">
      <c r="A66" s="157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68"/>
      <c r="Q66" s="168"/>
      <c r="R66" s="168"/>
      <c r="S66" s="168"/>
      <c r="T66" s="181"/>
      <c r="U66" s="165"/>
      <c r="V66" s="181"/>
      <c r="W66" s="181"/>
    </row>
    <row r="67" spans="1:24" ht="20.100000000000001" customHeight="1" x14ac:dyDescent="0.25">
      <c r="A67" s="157"/>
      <c r="B67" s="157"/>
      <c r="C67" s="157"/>
      <c r="D67" s="157"/>
      <c r="E67" s="157"/>
      <c r="F67" s="157"/>
      <c r="G67" s="157"/>
      <c r="H67" s="157"/>
      <c r="I67" s="157"/>
      <c r="J67" s="157"/>
      <c r="K67" s="163"/>
      <c r="L67" s="179"/>
      <c r="M67" s="179"/>
      <c r="N67" s="179"/>
      <c r="O67" s="163"/>
      <c r="P67" s="168"/>
      <c r="Q67" s="168"/>
      <c r="R67" s="168"/>
      <c r="S67" s="168"/>
      <c r="T67" s="181"/>
      <c r="U67" s="165"/>
      <c r="V67" s="181"/>
      <c r="W67" s="181"/>
    </row>
    <row r="68" spans="1:24" ht="20.100000000000001" customHeight="1" x14ac:dyDescent="0.25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88"/>
      <c r="L68" s="189"/>
      <c r="M68" s="189"/>
      <c r="N68" s="179"/>
      <c r="O68" s="163"/>
      <c r="P68" s="168"/>
      <c r="Q68" s="168"/>
      <c r="R68" s="168"/>
      <c r="S68" s="164"/>
      <c r="T68" s="165"/>
      <c r="U68" s="165"/>
      <c r="V68" s="165"/>
      <c r="W68" s="165"/>
    </row>
    <row r="69" spans="1:24" ht="20.100000000000001" customHeight="1" x14ac:dyDescent="0.25">
      <c r="A69" s="157"/>
      <c r="B69" s="157"/>
      <c r="C69" s="73"/>
      <c r="D69" s="73"/>
      <c r="E69" s="73"/>
      <c r="F69" s="73"/>
      <c r="G69" s="73"/>
      <c r="H69" s="73"/>
      <c r="I69" s="73"/>
      <c r="J69" s="78"/>
      <c r="K69" s="78"/>
      <c r="L69" s="78"/>
      <c r="M69" s="78"/>
      <c r="N69" s="77"/>
      <c r="O69" s="77"/>
      <c r="P69" s="77"/>
      <c r="Q69" s="77"/>
      <c r="R69" s="77"/>
      <c r="S69" s="34"/>
      <c r="T69" s="87"/>
      <c r="U69" s="87"/>
      <c r="V69" s="87"/>
      <c r="W69" s="87"/>
    </row>
    <row r="70" spans="1:24" ht="20.100000000000001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34"/>
      <c r="O70" s="34"/>
      <c r="P70" s="77"/>
      <c r="Q70" s="77"/>
      <c r="R70" s="77"/>
      <c r="S70" s="34"/>
      <c r="T70" s="87"/>
      <c r="U70" s="87"/>
      <c r="V70" s="87"/>
      <c r="W70" s="87"/>
    </row>
    <row r="71" spans="1:24" ht="20.100000000000001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34"/>
      <c r="O71" s="34"/>
      <c r="P71" s="77"/>
      <c r="Q71" s="77"/>
      <c r="R71" s="77"/>
      <c r="S71" s="34"/>
      <c r="T71" s="87"/>
      <c r="U71" s="87"/>
      <c r="V71" s="87"/>
      <c r="W71" s="87"/>
    </row>
    <row r="72" spans="1:24" ht="20.100000000000001" customHeight="1" x14ac:dyDescent="0.2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34"/>
      <c r="O72" s="34"/>
      <c r="P72" s="34"/>
      <c r="Q72" s="34"/>
      <c r="R72" s="34"/>
      <c r="S72" s="34"/>
      <c r="T72" s="87"/>
      <c r="U72" s="87"/>
      <c r="V72" s="87"/>
      <c r="W72" s="87"/>
    </row>
    <row r="73" spans="1:24" ht="20.100000000000001" customHeight="1" x14ac:dyDescent="0.25">
      <c r="A73" s="73"/>
      <c r="B73" s="73"/>
      <c r="C73" s="78"/>
      <c r="D73" s="79"/>
      <c r="E73" s="78"/>
      <c r="F73" s="78"/>
      <c r="G73" s="78"/>
      <c r="H73" s="78"/>
      <c r="I73" s="73"/>
      <c r="J73" s="73"/>
      <c r="K73" s="73"/>
      <c r="L73" s="73"/>
      <c r="M73" s="73"/>
      <c r="N73" s="34"/>
      <c r="O73" s="34"/>
      <c r="P73" s="34"/>
      <c r="Q73" s="34"/>
      <c r="R73" s="34"/>
      <c r="S73" s="34"/>
      <c r="T73" s="87"/>
    </row>
    <row r="74" spans="1:24" ht="20.100000000000001" customHeight="1" x14ac:dyDescent="0.25">
      <c r="A74" s="78"/>
      <c r="B74" s="78"/>
      <c r="C74" s="75"/>
      <c r="D74" s="75"/>
      <c r="E74" s="75"/>
      <c r="F74" s="75"/>
      <c r="G74" s="75"/>
      <c r="H74" s="75"/>
      <c r="M74" s="34"/>
      <c r="N74" s="34"/>
      <c r="O74" s="34"/>
      <c r="P74" s="34"/>
      <c r="Q74" s="34"/>
      <c r="R74" s="34"/>
      <c r="S74" s="34"/>
      <c r="T74" s="87"/>
    </row>
    <row r="75" spans="1:24" ht="20.100000000000001" customHeight="1" x14ac:dyDescent="0.25">
      <c r="A75" s="75"/>
      <c r="B75" s="75"/>
      <c r="P75" s="34"/>
      <c r="Q75" s="34"/>
      <c r="R75" s="34"/>
      <c r="S75" s="34"/>
      <c r="T75" s="87"/>
    </row>
    <row r="76" spans="1:24" ht="20.100000000000001" customHeight="1" x14ac:dyDescent="0.25">
      <c r="C76" s="75"/>
      <c r="D76" s="75"/>
      <c r="E76" s="75"/>
      <c r="F76" s="75"/>
      <c r="P76" s="34"/>
      <c r="Q76" s="34"/>
      <c r="R76" s="34"/>
      <c r="S76" s="34"/>
      <c r="T76" s="87"/>
    </row>
    <row r="77" spans="1:24" ht="20.100000000000001" customHeight="1" x14ac:dyDescent="0.25">
      <c r="A77" s="75"/>
      <c r="B77" s="75"/>
      <c r="C77" s="75"/>
      <c r="D77" s="75"/>
      <c r="E77" s="75"/>
      <c r="F77" s="75"/>
    </row>
    <row r="78" spans="1:24" ht="18" x14ac:dyDescent="0.25">
      <c r="A78" s="75"/>
      <c r="B78" s="75"/>
      <c r="C78" s="75"/>
      <c r="D78" s="75"/>
      <c r="E78" s="75"/>
      <c r="F78" s="75"/>
    </row>
    <row r="79" spans="1:24" ht="18" x14ac:dyDescent="0.25">
      <c r="A79" s="75"/>
      <c r="B79" s="75"/>
      <c r="C79" s="75"/>
      <c r="D79" s="75"/>
      <c r="E79" s="75"/>
    </row>
    <row r="80" spans="1:24" ht="18" x14ac:dyDescent="0.25">
      <c r="A80" s="75"/>
      <c r="B80" s="75"/>
      <c r="C80" s="75"/>
      <c r="D80" s="75"/>
    </row>
    <row r="81" spans="4:4" ht="18" x14ac:dyDescent="0.25">
      <c r="D81" s="75"/>
    </row>
  </sheetData>
  <mergeCells count="15">
    <mergeCell ref="D52:E52"/>
    <mergeCell ref="D53:E53"/>
    <mergeCell ref="D57:E57"/>
    <mergeCell ref="D58:E58"/>
    <mergeCell ref="D46:E46"/>
    <mergeCell ref="D47:E47"/>
    <mergeCell ref="D48:E48"/>
    <mergeCell ref="D49:E49"/>
    <mergeCell ref="A53:B53"/>
    <mergeCell ref="A58:B58"/>
    <mergeCell ref="A46:B46"/>
    <mergeCell ref="A47:B47"/>
    <mergeCell ref="A48:B48"/>
    <mergeCell ref="A49:B49"/>
    <mergeCell ref="A52:B52"/>
  </mergeCells>
  <pageMargins left="0.5" right="0.25" top="0.25" bottom="0.25" header="0.3" footer="0.3"/>
  <pageSetup paperSize="5" scale="49" fitToHeight="0" orientation="landscape" r:id="rId1"/>
  <rowBreaks count="1" manualBreakCount="1">
    <brk id="38" max="16383" man="1"/>
  </rowBreaks>
  <ignoredErrors>
    <ignoredError sqref="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0"/>
  <sheetViews>
    <sheetView zoomScale="75" zoomScaleNormal="75" workbookViewId="0"/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8" width="12.7109375" customWidth="1"/>
    <col min="19" max="19" width="13.28515625" bestFit="1" customWidth="1"/>
    <col min="21" max="21" width="36.5703125" customWidth="1"/>
  </cols>
  <sheetData>
    <row r="1" spans="1:19" ht="15.75" x14ac:dyDescent="0.25">
      <c r="A1" s="49" t="s">
        <v>0</v>
      </c>
      <c r="B1" s="49" t="s">
        <v>94</v>
      </c>
      <c r="C1" s="49" t="s">
        <v>95</v>
      </c>
    </row>
    <row r="2" spans="1:19" ht="15.75" x14ac:dyDescent="0.25">
      <c r="A2" s="49" t="s">
        <v>2</v>
      </c>
      <c r="B2" s="49" t="s">
        <v>135</v>
      </c>
      <c r="C2" s="49"/>
    </row>
    <row r="3" spans="1:19" ht="15.75" x14ac:dyDescent="0.25">
      <c r="A3" s="49" t="s">
        <v>6</v>
      </c>
      <c r="B3" s="49" t="s">
        <v>7</v>
      </c>
      <c r="C3" s="49"/>
    </row>
    <row r="4" spans="1:19" ht="15.75" x14ac:dyDescent="0.25">
      <c r="A4" s="49" t="s">
        <v>9</v>
      </c>
      <c r="B4" s="49" t="s">
        <v>294</v>
      </c>
      <c r="C4" s="49" t="s">
        <v>136</v>
      </c>
    </row>
    <row r="5" spans="1:19" ht="15.75" x14ac:dyDescent="0.25">
      <c r="A5" s="49" t="s">
        <v>11</v>
      </c>
      <c r="B5" s="49" t="s">
        <v>12</v>
      </c>
      <c r="C5" s="49"/>
      <c r="D5" s="68" t="s">
        <v>13</v>
      </c>
      <c r="E5" s="68" t="s">
        <v>14</v>
      </c>
      <c r="F5" s="68" t="s">
        <v>252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253</v>
      </c>
      <c r="P5" s="68" t="s">
        <v>25</v>
      </c>
      <c r="Q5" s="68" t="s">
        <v>26</v>
      </c>
      <c r="R5" s="68" t="s">
        <v>27</v>
      </c>
      <c r="S5" s="68" t="s">
        <v>28</v>
      </c>
    </row>
    <row r="6" spans="1:19" ht="15.75" x14ac:dyDescent="0.25">
      <c r="A6" s="49"/>
      <c r="B6" s="49"/>
      <c r="C6" s="49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</row>
    <row r="7" spans="1:19" ht="15" x14ac:dyDescent="0.2">
      <c r="A7" s="56"/>
      <c r="B7" s="56"/>
      <c r="C7" s="56"/>
    </row>
    <row r="8" spans="1:19" ht="15.75" x14ac:dyDescent="0.25">
      <c r="A8" s="56"/>
      <c r="B8" s="57" t="s">
        <v>36</v>
      </c>
      <c r="C8" s="49"/>
    </row>
    <row r="9" spans="1:19" ht="15.75" x14ac:dyDescent="0.25">
      <c r="A9" s="56"/>
      <c r="B9" s="57" t="s">
        <v>107</v>
      </c>
      <c r="C9" s="49"/>
    </row>
    <row r="10" spans="1:19" ht="15.75" x14ac:dyDescent="0.25">
      <c r="A10" s="49" t="s">
        <v>37</v>
      </c>
      <c r="B10" s="49"/>
      <c r="C10" s="49"/>
    </row>
    <row r="11" spans="1:19" ht="15" x14ac:dyDescent="0.2">
      <c r="A11" s="57" t="s">
        <v>109</v>
      </c>
      <c r="B11" s="57" t="s">
        <v>110</v>
      </c>
      <c r="C11" s="57"/>
      <c r="D11" s="9">
        <f>IF(D$6="Actual",'9397 BOEE'!D11,0)</f>
        <v>0</v>
      </c>
      <c r="E11" s="9">
        <f>IF(E$6="Actual",'9397 BOEE'!E11,0)</f>
        <v>98.75</v>
      </c>
      <c r="F11" s="9">
        <f>IF(F$6="Actual",'9397 BOEE'!F11,0)</f>
        <v>0</v>
      </c>
      <c r="G11" s="9">
        <f>IF(G$6="Actual",'9397 BOEE'!G11,0)</f>
        <v>0</v>
      </c>
      <c r="H11" s="9">
        <f>IF(H$6="Actual",'9397 BOEE'!H11,0)</f>
        <v>0</v>
      </c>
      <c r="I11" s="9">
        <f>IF(I$6="Actual",'9397 BOEE'!I11,0)</f>
        <v>0</v>
      </c>
      <c r="J11" s="9">
        <f>IF(J$6="Actual",'9397 BOEE'!J11,0)</f>
        <v>0</v>
      </c>
      <c r="K11" s="9">
        <f>IF(K$6="Actual",'9397 BOEE'!K11,0)</f>
        <v>0</v>
      </c>
      <c r="L11" s="9">
        <f>IF(L$6="Actual",'9397 BOEE'!L11,0)</f>
        <v>0</v>
      </c>
      <c r="M11" s="9">
        <f>IF(M$6="Actual",'9397 BOEE'!M11,0)</f>
        <v>0</v>
      </c>
      <c r="N11" s="9">
        <f>IF(N$6="Actual",'9397 BOEE'!N11,0)</f>
        <v>0</v>
      </c>
      <c r="O11" s="9">
        <f>IF(O$6="Actual",'9397 BOEE'!O11,0)</f>
        <v>0</v>
      </c>
      <c r="P11" s="9">
        <f>IF(P$6="Actual",'9397 BOEE'!P11,0)</f>
        <v>0</v>
      </c>
      <c r="Q11" s="9">
        <f>IF(Q$6="Actual",'9397 BOEE'!Q11,0)</f>
        <v>0</v>
      </c>
      <c r="R11" s="9">
        <f>IF(R$6="Actual",'9397 BOEE'!R11,0)</f>
        <v>0</v>
      </c>
      <c r="S11" s="9">
        <f>SUM(D11:R11)</f>
        <v>98.75</v>
      </c>
    </row>
    <row r="12" spans="1:19" ht="15" x14ac:dyDescent="0.2">
      <c r="A12" s="57" t="s">
        <v>58</v>
      </c>
      <c r="B12" s="57" t="s">
        <v>189</v>
      </c>
      <c r="C12" s="57"/>
      <c r="D12" s="9">
        <f>IF(D$6="Actual",'9397 BOEE'!D12,0)</f>
        <v>174861.75</v>
      </c>
      <c r="E12" s="9">
        <f>IF(E$6="Actual",'9397 BOEE'!E12,0)</f>
        <v>205578</v>
      </c>
      <c r="F12" s="9">
        <f>IF(F$6="Actual",'9397 BOEE'!F12,0)</f>
        <v>117549.75</v>
      </c>
      <c r="G12" s="9">
        <f>IF(G$6="Actual",'9397 BOEE'!G12,0)</f>
        <v>125126.25</v>
      </c>
      <c r="H12" s="9">
        <v>97761.75</v>
      </c>
      <c r="I12" s="9">
        <f>IF(I$6="Actual",'9397 BOEE'!I12,0)</f>
        <v>103017.75</v>
      </c>
      <c r="J12" s="9">
        <f>IF(J$6="Actual",'9397 BOEE'!J12,0)</f>
        <v>149394.75</v>
      </c>
      <c r="K12" s="9">
        <f>IF(K$6="Actual",'9397 BOEE'!K12,0)</f>
        <v>123095.25</v>
      </c>
      <c r="L12" s="9">
        <f>IF(L$6="Actual",'9397 BOEE'!L12,0)</f>
        <v>0</v>
      </c>
      <c r="M12" s="9">
        <f>IF(M$6="Actual",'9397 BOEE'!M12,0)</f>
        <v>0</v>
      </c>
      <c r="N12" s="9">
        <f>IF(N$6="Actual",'9397 BOEE'!N12,0)</f>
        <v>0</v>
      </c>
      <c r="O12" s="9">
        <f>IF(O$6="Actual",'9397 BOEE'!O12,0)</f>
        <v>0</v>
      </c>
      <c r="P12" s="9">
        <f>IF(P$6="Actual",'9397 BOEE'!P12,0)</f>
        <v>0</v>
      </c>
      <c r="Q12" s="9">
        <f>IF(Q$6="Actual",'9397 BOEE'!Q12,0)</f>
        <v>0</v>
      </c>
      <c r="R12" s="9">
        <f>IF(R$6="Actual",'9397 BOEE'!R12,0)</f>
        <v>0</v>
      </c>
      <c r="S12" s="9">
        <f t="shared" ref="S12:S14" si="0">SUM(D12:R12)</f>
        <v>1096385.25</v>
      </c>
    </row>
    <row r="13" spans="1:19" ht="15" x14ac:dyDescent="0.2">
      <c r="A13" s="57" t="s">
        <v>40</v>
      </c>
      <c r="B13" s="57" t="s">
        <v>41</v>
      </c>
      <c r="C13" s="57"/>
      <c r="D13" s="9">
        <f>IF(D$6="Actual",'9397 BOEE'!D13,0)</f>
        <v>0</v>
      </c>
      <c r="E13" s="9">
        <f>IF(E$6="Actual",'9397 BOEE'!E13,0)</f>
        <v>0</v>
      </c>
      <c r="F13" s="9">
        <f>IF(F$6="Actual",'9397 BOEE'!F13,0)</f>
        <v>0</v>
      </c>
      <c r="G13" s="9">
        <f>IF(G$6="Actual",'9397 BOEE'!G13,0)</f>
        <v>0</v>
      </c>
      <c r="H13" s="9">
        <f>IF(H$6="Actual",'9397 BOEE'!H13,0)</f>
        <v>0</v>
      </c>
      <c r="I13" s="9">
        <f>IF(I$6="Actual",'9397 BOEE'!I13,0)</f>
        <v>0</v>
      </c>
      <c r="J13" s="9">
        <f>IF(J$6="Actual",'9397 BOEE'!J13,0)</f>
        <v>0</v>
      </c>
      <c r="K13" s="9">
        <f>IF(K$6="Actual",'9397 BOEE'!K13,0)</f>
        <v>0</v>
      </c>
      <c r="L13" s="9">
        <f>IF(L$6="Actual",'9397 BOEE'!L13,0)</f>
        <v>0</v>
      </c>
      <c r="M13" s="9">
        <f>IF(M$6="Actual",'9397 BOEE'!M13,0)</f>
        <v>0</v>
      </c>
      <c r="N13" s="9">
        <f>IF(N$6="Actual",'9397 BOEE'!N13,0)</f>
        <v>0</v>
      </c>
      <c r="O13" s="9">
        <f>IF(O$6="Actual",'9397 BOEE'!O13,0)</f>
        <v>0</v>
      </c>
      <c r="P13" s="9">
        <f>IF(P$6="Actual",'9397 BOEE'!P13,0)</f>
        <v>0</v>
      </c>
      <c r="Q13" s="9">
        <f>IF(Q$6="Actual",'9397 BOEE'!Q13,0)</f>
        <v>0</v>
      </c>
      <c r="R13" s="9">
        <f>IF(R$6="Actual",'9397 BOEE'!R13,0)</f>
        <v>0</v>
      </c>
      <c r="S13" s="9">
        <f t="shared" ref="S13" si="1">SUM(D13:R13)</f>
        <v>0</v>
      </c>
    </row>
    <row r="14" spans="1:19" ht="15" x14ac:dyDescent="0.2">
      <c r="A14" s="57" t="s">
        <v>133</v>
      </c>
      <c r="B14" s="57" t="s">
        <v>190</v>
      </c>
      <c r="C14" s="57"/>
      <c r="D14" s="9">
        <f>IF(D$6="Actual",'9397 BOEE'!D14,0)</f>
        <v>49155</v>
      </c>
      <c r="E14" s="9">
        <f>IF(E$6="Actual",'9397 BOEE'!E14,0)</f>
        <v>58365</v>
      </c>
      <c r="F14" s="9">
        <f>IF(F$6="Actual",'9397 BOEE'!F14,0)</f>
        <v>43370</v>
      </c>
      <c r="G14" s="9">
        <f>IF(G$6="Actual",'9397 BOEE'!G14,0)</f>
        <v>45381.25</v>
      </c>
      <c r="H14" s="9">
        <f>IF(H$6="Actual",'9397 BOEE'!H14,0)</f>
        <v>35055</v>
      </c>
      <c r="I14" s="9">
        <f>IF(I$6="Actual",'9397 BOEE'!I14,0)</f>
        <v>38325</v>
      </c>
      <c r="J14" s="9">
        <f>IF(J$6="Actual",'9397 BOEE'!J14,0)</f>
        <v>58435</v>
      </c>
      <c r="K14" s="9">
        <f>IF(K$6="Actual",'9397 BOEE'!K14,0)</f>
        <v>45595</v>
      </c>
      <c r="L14" s="9">
        <f>IF(L$6="Actual",'9397 BOEE'!L14,0)</f>
        <v>0</v>
      </c>
      <c r="M14" s="9">
        <f>IF(M$6="Actual",'9397 BOEE'!M14,0)</f>
        <v>0</v>
      </c>
      <c r="N14" s="9">
        <f>IF(N$6="Actual",'9397 BOEE'!N14,0)</f>
        <v>0</v>
      </c>
      <c r="O14" s="9">
        <f>IF(O$6="Actual",'9397 BOEE'!O14,0)</f>
        <v>0</v>
      </c>
      <c r="P14" s="9">
        <f>IF(P$6="Actual",'9397 BOEE'!P14,0)</f>
        <v>0</v>
      </c>
      <c r="Q14" s="9">
        <f>IF(Q$6="Actual",'9397 BOEE'!Q14,0)</f>
        <v>0</v>
      </c>
      <c r="R14" s="9">
        <f>IF(R$6="Actual",'9397 BOEE'!R14,0)</f>
        <v>0</v>
      </c>
      <c r="S14" s="9">
        <f t="shared" si="0"/>
        <v>373681.25</v>
      </c>
    </row>
    <row r="15" spans="1:19" x14ac:dyDescent="0.2">
      <c r="A15" s="14"/>
      <c r="B15" s="14"/>
      <c r="C15" s="14"/>
    </row>
    <row r="16" spans="1:19" ht="15.75" x14ac:dyDescent="0.2">
      <c r="A16" s="90" t="s">
        <v>131</v>
      </c>
      <c r="B16" s="90"/>
      <c r="C16" s="90"/>
      <c r="D16" s="201">
        <f>SUM(D10:D15)</f>
        <v>224016.75</v>
      </c>
      <c r="E16" s="201">
        <f t="shared" ref="E16:S16" si="2">SUM(E10:E15)</f>
        <v>264041.75</v>
      </c>
      <c r="F16" s="201">
        <f t="shared" si="2"/>
        <v>160919.75</v>
      </c>
      <c r="G16" s="201">
        <f t="shared" si="2"/>
        <v>170507.5</v>
      </c>
      <c r="H16" s="201">
        <f t="shared" si="2"/>
        <v>132816.75</v>
      </c>
      <c r="I16" s="201">
        <f t="shared" si="2"/>
        <v>141342.75</v>
      </c>
      <c r="J16" s="201">
        <f t="shared" si="2"/>
        <v>207829.75</v>
      </c>
      <c r="K16" s="201">
        <f t="shared" si="2"/>
        <v>168690.25</v>
      </c>
      <c r="L16" s="201">
        <f t="shared" si="2"/>
        <v>0</v>
      </c>
      <c r="M16" s="201">
        <f t="shared" si="2"/>
        <v>0</v>
      </c>
      <c r="N16" s="201">
        <f t="shared" si="2"/>
        <v>0</v>
      </c>
      <c r="O16" s="201">
        <f t="shared" si="2"/>
        <v>0</v>
      </c>
      <c r="P16" s="201">
        <f t="shared" si="2"/>
        <v>0</v>
      </c>
      <c r="Q16" s="201">
        <f t="shared" si="2"/>
        <v>0</v>
      </c>
      <c r="R16" s="201">
        <f t="shared" si="2"/>
        <v>0</v>
      </c>
      <c r="S16" s="201">
        <f t="shared" si="2"/>
        <v>1470165.25</v>
      </c>
    </row>
    <row r="17" spans="1:21" x14ac:dyDescent="0.2">
      <c r="A17" s="14"/>
      <c r="B17" s="14"/>
      <c r="C17" s="14"/>
    </row>
    <row r="18" spans="1:21" ht="15" x14ac:dyDescent="0.2">
      <c r="A18" s="37" t="s">
        <v>220</v>
      </c>
      <c r="B18" s="37" t="s">
        <v>221</v>
      </c>
      <c r="D18" s="378"/>
      <c r="E18" s="378">
        <v>21.25</v>
      </c>
      <c r="F18" s="378"/>
      <c r="G18" s="378"/>
      <c r="H18" s="378"/>
      <c r="I18" s="378"/>
      <c r="J18" s="378"/>
      <c r="K18" s="378">
        <v>0</v>
      </c>
      <c r="L18" s="378"/>
      <c r="M18" s="378"/>
      <c r="N18" s="378"/>
      <c r="O18" s="378"/>
      <c r="P18" s="292"/>
      <c r="Q18" s="292"/>
      <c r="R18" s="292"/>
      <c r="S18" s="9">
        <f t="shared" ref="S18:S19" si="3">SUM(D18:R18)</f>
        <v>21.25</v>
      </c>
    </row>
    <row r="19" spans="1:21" ht="15" x14ac:dyDescent="0.2">
      <c r="A19" s="37" t="s">
        <v>222</v>
      </c>
      <c r="B19" s="37" t="s">
        <v>360</v>
      </c>
      <c r="D19" s="385">
        <v>55051.25</v>
      </c>
      <c r="E19" s="385">
        <v>64820</v>
      </c>
      <c r="F19" s="385">
        <v>37046.25</v>
      </c>
      <c r="G19" s="385">
        <v>39422.5</v>
      </c>
      <c r="H19" s="385">
        <v>30771.25</v>
      </c>
      <c r="I19" s="385">
        <v>32431.25</v>
      </c>
      <c r="J19" s="385">
        <v>46966.25</v>
      </c>
      <c r="K19" s="385">
        <v>38823.75</v>
      </c>
      <c r="L19" s="385">
        <v>0</v>
      </c>
      <c r="M19" s="385">
        <v>0</v>
      </c>
      <c r="N19" s="385">
        <v>0</v>
      </c>
      <c r="O19" s="385">
        <v>0</v>
      </c>
      <c r="P19" s="293"/>
      <c r="Q19" s="293"/>
      <c r="R19" s="293"/>
      <c r="S19" s="294">
        <f t="shared" si="3"/>
        <v>345332.5</v>
      </c>
    </row>
    <row r="20" spans="1:21" ht="15" x14ac:dyDescent="0.2">
      <c r="A20" s="37"/>
      <c r="B20" s="37"/>
      <c r="C20" s="37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7"/>
      <c r="Q20" s="37"/>
      <c r="R20" s="37"/>
      <c r="S20" s="37"/>
    </row>
    <row r="21" spans="1:21" ht="15.75" x14ac:dyDescent="0.25">
      <c r="A21" s="295" t="s">
        <v>223</v>
      </c>
      <c r="B21" s="295"/>
      <c r="C21" s="295"/>
      <c r="D21" s="377">
        <f>SUM(D18:D20)</f>
        <v>55051.25</v>
      </c>
      <c r="E21" s="377">
        <f t="shared" ref="E21:S21" si="4">SUM(E18:E20)</f>
        <v>64841.25</v>
      </c>
      <c r="F21" s="377">
        <f t="shared" si="4"/>
        <v>37046.25</v>
      </c>
      <c r="G21" s="377">
        <f t="shared" si="4"/>
        <v>39422.5</v>
      </c>
      <c r="H21" s="377">
        <f t="shared" si="4"/>
        <v>30771.25</v>
      </c>
      <c r="I21" s="377">
        <f t="shared" si="4"/>
        <v>32431.25</v>
      </c>
      <c r="J21" s="377">
        <f t="shared" si="4"/>
        <v>46966.25</v>
      </c>
      <c r="K21" s="377">
        <f t="shared" si="4"/>
        <v>38823.75</v>
      </c>
      <c r="L21" s="377">
        <f t="shared" si="4"/>
        <v>0</v>
      </c>
      <c r="M21" s="377">
        <f t="shared" si="4"/>
        <v>0</v>
      </c>
      <c r="N21" s="377">
        <f t="shared" si="4"/>
        <v>0</v>
      </c>
      <c r="O21" s="377">
        <f t="shared" si="4"/>
        <v>0</v>
      </c>
      <c r="P21" s="296">
        <f t="shared" si="4"/>
        <v>0</v>
      </c>
      <c r="Q21" s="296">
        <f t="shared" si="4"/>
        <v>0</v>
      </c>
      <c r="R21" s="296">
        <f t="shared" si="4"/>
        <v>0</v>
      </c>
      <c r="S21" s="296">
        <f t="shared" si="4"/>
        <v>345353.75</v>
      </c>
    </row>
    <row r="22" spans="1:21" ht="1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21" ht="16.5" thickBot="1" x14ac:dyDescent="0.3">
      <c r="A23" s="295" t="s">
        <v>224</v>
      </c>
      <c r="B23" s="37"/>
      <c r="C23" s="37"/>
      <c r="D23" s="297">
        <f>D16+D21</f>
        <v>279068</v>
      </c>
      <c r="E23" s="297">
        <f t="shared" ref="E23:S23" si="5">E16+E21</f>
        <v>328883</v>
      </c>
      <c r="F23" s="297">
        <f t="shared" si="5"/>
        <v>197966</v>
      </c>
      <c r="G23" s="297">
        <f t="shared" si="5"/>
        <v>209930</v>
      </c>
      <c r="H23" s="297">
        <f t="shared" si="5"/>
        <v>163588</v>
      </c>
      <c r="I23" s="297">
        <f t="shared" si="5"/>
        <v>173774</v>
      </c>
      <c r="J23" s="297">
        <f t="shared" si="5"/>
        <v>254796</v>
      </c>
      <c r="K23" s="297">
        <f t="shared" si="5"/>
        <v>207514</v>
      </c>
      <c r="L23" s="297">
        <f t="shared" si="5"/>
        <v>0</v>
      </c>
      <c r="M23" s="297">
        <f t="shared" si="5"/>
        <v>0</v>
      </c>
      <c r="N23" s="297">
        <f t="shared" si="5"/>
        <v>0</v>
      </c>
      <c r="O23" s="297">
        <f t="shared" si="5"/>
        <v>0</v>
      </c>
      <c r="P23" s="297">
        <f t="shared" si="5"/>
        <v>0</v>
      </c>
      <c r="Q23" s="297">
        <f t="shared" si="5"/>
        <v>0</v>
      </c>
      <c r="R23" s="297">
        <f t="shared" si="5"/>
        <v>0</v>
      </c>
      <c r="S23" s="297">
        <f t="shared" si="5"/>
        <v>1815519</v>
      </c>
    </row>
    <row r="24" spans="1:21" ht="1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21" ht="15" x14ac:dyDescent="0.2">
      <c r="A25" s="37"/>
      <c r="B25" s="333" t="s">
        <v>277</v>
      </c>
      <c r="C25" s="37"/>
      <c r="D25" s="354">
        <f>IF(D6="Actual",SUM($D23:D23)/SUM($D50:D50)-1,"")</f>
        <v>7.8294468808562501E-2</v>
      </c>
      <c r="E25" s="334">
        <f>IF(E6="Actual",SUM($D23:E23)/SUM($D50:E50)-1,"")</f>
        <v>5.2363109976013567E-2</v>
      </c>
      <c r="F25" s="334">
        <f>IF(F6="Actual",SUM($D23:F23)/SUM($D50:F50)-1,"")</f>
        <v>-1.3737107705504958E-2</v>
      </c>
      <c r="G25" s="334">
        <f>IF(G6="Actual",SUM($D23:G23)/SUM($D50:G50)-1,"")</f>
        <v>-5.0384079227639988E-3</v>
      </c>
      <c r="H25" s="334">
        <f>IF(H6="Actual",SUM($D23:H23)/SUM($D50:H50)-1,"")</f>
        <v>-1.504625441532248E-2</v>
      </c>
      <c r="I25" s="334">
        <f>IF(I6="Actual",SUM($D23:I23)/SUM($D50:I50)-1,"")</f>
        <v>-1.8205143074789598E-2</v>
      </c>
      <c r="J25" s="334">
        <f>IF(J6="Actual",SUM($D23:J23)/SUM($D50:J50)-1,"")</f>
        <v>-8.6608861500997447E-3</v>
      </c>
      <c r="K25" s="354">
        <f>IF(K6="Actual",SUM($D23:K23)/SUM($D50:K50)-1,"")</f>
        <v>-2.4081905480091148E-3</v>
      </c>
      <c r="L25" s="334" t="str">
        <f>IF(L6="Actual",SUM($D23:L23)/SUM($D50:L50)-1,"")</f>
        <v/>
      </c>
      <c r="M25" s="354" t="str">
        <f>IF(M6="Actual",SUM($D23:M23)/SUM($D50:M50)-1,"")</f>
        <v/>
      </c>
      <c r="N25" s="334" t="str">
        <f>IF(N6="Actual",SUM($D23:N23)/SUM($D50:N50)-1,"")</f>
        <v/>
      </c>
      <c r="O25" s="354" t="str">
        <f>IF(O6="Actual",SUM($D23:O23)/SUM($D50:O50)-1,"")</f>
        <v/>
      </c>
      <c r="P25" s="37"/>
      <c r="Q25" s="37"/>
      <c r="R25" s="37"/>
      <c r="S25" s="37"/>
    </row>
    <row r="26" spans="1:21" ht="1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21" ht="15" x14ac:dyDescent="0.2">
      <c r="A27" s="37" t="s">
        <v>225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21" ht="15" x14ac:dyDescent="0.2">
      <c r="A28" s="37" t="s">
        <v>95</v>
      </c>
      <c r="B28" s="37" t="s">
        <v>226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31" spans="1:21" x14ac:dyDescent="0.2">
      <c r="A31" s="332" t="s">
        <v>331</v>
      </c>
    </row>
    <row r="32" spans="1:21" ht="15.75" x14ac:dyDescent="0.25">
      <c r="A32" s="51" t="s">
        <v>11</v>
      </c>
      <c r="B32" s="51" t="s">
        <v>12</v>
      </c>
      <c r="C32" s="51"/>
      <c r="D32" s="68" t="s">
        <v>13</v>
      </c>
      <c r="E32" s="68" t="s">
        <v>14</v>
      </c>
      <c r="F32" s="68" t="s">
        <v>15</v>
      </c>
      <c r="G32" s="68" t="s">
        <v>16</v>
      </c>
      <c r="H32" s="68" t="s">
        <v>17</v>
      </c>
      <c r="I32" s="68" t="s">
        <v>18</v>
      </c>
      <c r="J32" s="68" t="s">
        <v>19</v>
      </c>
      <c r="K32" s="68" t="s">
        <v>20</v>
      </c>
      <c r="L32" s="68" t="s">
        <v>21</v>
      </c>
      <c r="M32" s="68" t="s">
        <v>22</v>
      </c>
      <c r="N32" s="68" t="s">
        <v>23</v>
      </c>
      <c r="O32" s="68" t="s">
        <v>24</v>
      </c>
      <c r="P32" s="68" t="s">
        <v>25</v>
      </c>
      <c r="Q32" s="68" t="s">
        <v>26</v>
      </c>
      <c r="R32" s="68" t="s">
        <v>27</v>
      </c>
      <c r="S32" s="68" t="s">
        <v>28</v>
      </c>
      <c r="T32" s="373"/>
      <c r="U32" s="374"/>
    </row>
    <row r="33" spans="1:19" ht="15.75" x14ac:dyDescent="0.25">
      <c r="A33" s="51"/>
      <c r="B33" s="51"/>
      <c r="C33" s="51"/>
      <c r="D33" s="69" t="s">
        <v>5</v>
      </c>
      <c r="E33" s="69" t="s">
        <v>5</v>
      </c>
      <c r="F33" s="69" t="s">
        <v>5</v>
      </c>
      <c r="G33" s="69" t="s">
        <v>5</v>
      </c>
      <c r="H33" s="69" t="s">
        <v>5</v>
      </c>
      <c r="I33" s="69" t="s">
        <v>5</v>
      </c>
      <c r="J33" s="69" t="s">
        <v>5</v>
      </c>
      <c r="K33" s="69" t="s">
        <v>5</v>
      </c>
      <c r="L33" s="69" t="s">
        <v>5</v>
      </c>
      <c r="M33" s="69" t="s">
        <v>5</v>
      </c>
      <c r="N33" s="69" t="s">
        <v>5</v>
      </c>
      <c r="O33" s="69" t="s">
        <v>5</v>
      </c>
      <c r="P33" s="69" t="s">
        <v>5</v>
      </c>
      <c r="Q33" s="69" t="s">
        <v>5</v>
      </c>
      <c r="R33" s="69" t="s">
        <v>5</v>
      </c>
      <c r="S33" s="69" t="s">
        <v>5</v>
      </c>
    </row>
    <row r="35" spans="1:19" x14ac:dyDescent="0.2">
      <c r="B35" t="s">
        <v>36</v>
      </c>
    </row>
    <row r="36" spans="1:19" x14ac:dyDescent="0.2">
      <c r="B36" t="s">
        <v>107</v>
      </c>
    </row>
    <row r="37" spans="1:19" x14ac:dyDescent="0.2">
      <c r="A37" t="s">
        <v>37</v>
      </c>
    </row>
    <row r="38" spans="1:19" x14ac:dyDescent="0.2">
      <c r="A38" t="s">
        <v>109</v>
      </c>
      <c r="B38" t="s">
        <v>110</v>
      </c>
      <c r="D38" s="307">
        <v>0</v>
      </c>
      <c r="E38" s="307">
        <v>0</v>
      </c>
      <c r="F38" s="307">
        <v>0</v>
      </c>
      <c r="G38" s="307">
        <v>0</v>
      </c>
      <c r="H38" s="307">
        <v>120</v>
      </c>
      <c r="I38" s="307">
        <v>0</v>
      </c>
      <c r="J38" s="307">
        <v>120</v>
      </c>
      <c r="K38" s="307">
        <v>73.75</v>
      </c>
      <c r="L38" s="307">
        <v>0</v>
      </c>
      <c r="M38" s="307">
        <v>0</v>
      </c>
      <c r="N38" s="307">
        <v>0</v>
      </c>
      <c r="O38" s="307">
        <v>0</v>
      </c>
      <c r="P38" s="307">
        <v>0</v>
      </c>
      <c r="Q38" s="307">
        <v>0</v>
      </c>
      <c r="R38" s="307">
        <v>0</v>
      </c>
      <c r="S38" s="307">
        <f>SUM(D38:R38)</f>
        <v>313.75</v>
      </c>
    </row>
    <row r="39" spans="1:19" x14ac:dyDescent="0.2">
      <c r="A39" t="s">
        <v>58</v>
      </c>
      <c r="B39" t="s">
        <v>189</v>
      </c>
      <c r="D39" s="307">
        <v>155032.5</v>
      </c>
      <c r="E39" s="307">
        <v>198934.54</v>
      </c>
      <c r="F39" s="307">
        <v>141664</v>
      </c>
      <c r="G39" s="307">
        <v>122289</v>
      </c>
      <c r="H39" s="307">
        <v>103442.25</v>
      </c>
      <c r="I39" s="307">
        <v>107060.11</v>
      </c>
      <c r="J39" s="307">
        <v>143671</v>
      </c>
      <c r="K39" s="307">
        <v>119444.5</v>
      </c>
      <c r="L39" s="307">
        <v>114366.75</v>
      </c>
      <c r="M39" s="307">
        <v>138334</v>
      </c>
      <c r="N39" s="307">
        <v>200737.87</v>
      </c>
      <c r="O39" s="307">
        <v>177830.25</v>
      </c>
      <c r="P39" s="307">
        <f>-99959.57+100000</f>
        <v>40.429999999993015</v>
      </c>
      <c r="Q39" s="307">
        <v>0</v>
      </c>
      <c r="R39" s="307">
        <v>0</v>
      </c>
      <c r="S39" s="307">
        <f t="shared" ref="S39:S41" si="6">SUM(D39:R39)</f>
        <v>1722847.2</v>
      </c>
    </row>
    <row r="40" spans="1:19" x14ac:dyDescent="0.2">
      <c r="A40">
        <v>501</v>
      </c>
      <c r="B40" t="s">
        <v>41</v>
      </c>
      <c r="D40" s="307">
        <v>0</v>
      </c>
      <c r="E40" s="307">
        <v>0</v>
      </c>
      <c r="F40" s="307">
        <v>0</v>
      </c>
      <c r="G40" s="307">
        <v>765</v>
      </c>
      <c r="H40" s="307">
        <v>0</v>
      </c>
      <c r="I40" s="307">
        <v>0</v>
      </c>
      <c r="J40" s="307">
        <v>0</v>
      </c>
      <c r="K40" s="307">
        <v>0</v>
      </c>
      <c r="L40" s="307">
        <v>0</v>
      </c>
      <c r="M40" s="307">
        <v>0</v>
      </c>
      <c r="N40" s="307">
        <v>0</v>
      </c>
      <c r="O40" s="307">
        <v>0</v>
      </c>
      <c r="P40" s="307">
        <v>0</v>
      </c>
      <c r="Q40" s="307">
        <v>0</v>
      </c>
      <c r="R40" s="307">
        <v>0</v>
      </c>
      <c r="S40" s="307">
        <f>SUM(D40:R40)</f>
        <v>765</v>
      </c>
    </row>
    <row r="41" spans="1:19" x14ac:dyDescent="0.2">
      <c r="A41" t="s">
        <v>133</v>
      </c>
      <c r="B41" t="s">
        <v>190</v>
      </c>
      <c r="D41" s="307">
        <v>54965</v>
      </c>
      <c r="E41" s="307">
        <v>57355</v>
      </c>
      <c r="F41" s="307">
        <v>53167.92</v>
      </c>
      <c r="G41" s="307">
        <v>42250</v>
      </c>
      <c r="H41" s="307">
        <v>40345</v>
      </c>
      <c r="I41" s="307">
        <v>40103.14</v>
      </c>
      <c r="J41" s="307">
        <v>54790</v>
      </c>
      <c r="K41" s="307">
        <v>40655</v>
      </c>
      <c r="L41" s="307">
        <v>41715</v>
      </c>
      <c r="M41" s="307">
        <v>49350</v>
      </c>
      <c r="N41" s="307">
        <v>54602.44</v>
      </c>
      <c r="O41" s="307">
        <v>50500</v>
      </c>
      <c r="P41" s="307">
        <v>-2.29</v>
      </c>
      <c r="Q41" s="307">
        <v>0</v>
      </c>
      <c r="R41" s="307">
        <v>0</v>
      </c>
      <c r="S41" s="307">
        <f t="shared" si="6"/>
        <v>579796.21</v>
      </c>
    </row>
    <row r="42" spans="1:19" x14ac:dyDescent="0.2"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14"/>
    </row>
    <row r="43" spans="1:19" ht="15.75" x14ac:dyDescent="0.2">
      <c r="A43" s="200" t="s">
        <v>131</v>
      </c>
      <c r="B43" s="200"/>
      <c r="C43" s="200"/>
      <c r="D43" s="375">
        <f>SUM(D37:D42)</f>
        <v>209997.5</v>
      </c>
      <c r="E43" s="375">
        <f t="shared" ref="E43:S43" si="7">SUM(E37:E42)</f>
        <v>256289.54</v>
      </c>
      <c r="F43" s="375">
        <f t="shared" si="7"/>
        <v>194831.91999999998</v>
      </c>
      <c r="G43" s="375">
        <f t="shared" si="7"/>
        <v>165304</v>
      </c>
      <c r="H43" s="375">
        <f t="shared" si="7"/>
        <v>143907.25</v>
      </c>
      <c r="I43" s="375">
        <f t="shared" si="7"/>
        <v>147163.25</v>
      </c>
      <c r="J43" s="375">
        <f t="shared" si="7"/>
        <v>198581</v>
      </c>
      <c r="K43" s="375">
        <f t="shared" si="7"/>
        <v>160173.25</v>
      </c>
      <c r="L43" s="375">
        <f t="shared" si="7"/>
        <v>156081.75</v>
      </c>
      <c r="M43" s="375">
        <f t="shared" si="7"/>
        <v>187684</v>
      </c>
      <c r="N43" s="375">
        <f t="shared" si="7"/>
        <v>255340.31</v>
      </c>
      <c r="O43" s="375">
        <f t="shared" si="7"/>
        <v>228330.25</v>
      </c>
      <c r="P43" s="375">
        <f t="shared" si="7"/>
        <v>38.139999999993016</v>
      </c>
      <c r="Q43" s="375">
        <f t="shared" si="7"/>
        <v>0</v>
      </c>
      <c r="R43" s="375">
        <f t="shared" si="7"/>
        <v>0</v>
      </c>
      <c r="S43" s="91">
        <f t="shared" si="7"/>
        <v>2303722.16</v>
      </c>
    </row>
    <row r="44" spans="1:19" x14ac:dyDescent="0.2"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14"/>
    </row>
    <row r="45" spans="1:19" x14ac:dyDescent="0.2">
      <c r="A45" t="s">
        <v>220</v>
      </c>
      <c r="B45" t="s">
        <v>221</v>
      </c>
      <c r="D45" s="307"/>
      <c r="E45" s="307"/>
      <c r="F45" s="307"/>
      <c r="G45" s="307"/>
      <c r="H45" s="307"/>
      <c r="I45" s="307"/>
      <c r="J45" s="307"/>
      <c r="K45" s="307">
        <v>21.25</v>
      </c>
      <c r="L45" s="307"/>
      <c r="M45" s="307"/>
      <c r="N45" s="307"/>
      <c r="O45" s="307"/>
      <c r="P45" s="307"/>
      <c r="Q45" s="307"/>
      <c r="R45" s="307"/>
      <c r="S45" s="307">
        <f t="shared" ref="S45:S46" si="8">SUM(D45:R45)</f>
        <v>21.25</v>
      </c>
    </row>
    <row r="46" spans="1:19" x14ac:dyDescent="0.2">
      <c r="A46" t="s">
        <v>222</v>
      </c>
      <c r="B46" t="s">
        <v>189</v>
      </c>
      <c r="D46" s="307">
        <v>48807.5</v>
      </c>
      <c r="E46" s="307">
        <v>62606.25</v>
      </c>
      <c r="F46" s="307">
        <v>44609.46</v>
      </c>
      <c r="G46" s="307">
        <v>38545</v>
      </c>
      <c r="H46" s="307">
        <v>32553.75</v>
      </c>
      <c r="I46" s="307">
        <v>33685.75</v>
      </c>
      <c r="J46" s="307">
        <v>45171.25</v>
      </c>
      <c r="K46" s="307">
        <f>37675-K45</f>
        <v>37653.75</v>
      </c>
      <c r="L46" s="307">
        <v>35996.252999999997</v>
      </c>
      <c r="M46" s="307">
        <v>43542.5</v>
      </c>
      <c r="N46" s="307">
        <v>63243.69</v>
      </c>
      <c r="O46" s="307">
        <v>56128.75</v>
      </c>
      <c r="P46" s="307">
        <v>9.11</v>
      </c>
      <c r="Q46" s="307"/>
      <c r="R46" s="307"/>
      <c r="S46" s="376">
        <f t="shared" si="8"/>
        <v>542553.01299999992</v>
      </c>
    </row>
    <row r="47" spans="1:19" ht="15" x14ac:dyDescent="0.2"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4"/>
    </row>
    <row r="48" spans="1:19" ht="15.75" x14ac:dyDescent="0.25">
      <c r="A48" s="295" t="s">
        <v>223</v>
      </c>
      <c r="B48" s="295"/>
      <c r="C48" s="295"/>
      <c r="D48" s="377">
        <f>SUM(D45:D47)</f>
        <v>48807.5</v>
      </c>
      <c r="E48" s="377">
        <f t="shared" ref="E48:R48" si="9">SUM(E45:E47)</f>
        <v>62606.25</v>
      </c>
      <c r="F48" s="377">
        <f t="shared" si="9"/>
        <v>44609.46</v>
      </c>
      <c r="G48" s="377">
        <f t="shared" si="9"/>
        <v>38545</v>
      </c>
      <c r="H48" s="377">
        <f t="shared" si="9"/>
        <v>32553.75</v>
      </c>
      <c r="I48" s="377">
        <f t="shared" si="9"/>
        <v>33685.75</v>
      </c>
      <c r="J48" s="377">
        <f t="shared" si="9"/>
        <v>45171.25</v>
      </c>
      <c r="K48" s="377">
        <f t="shared" si="9"/>
        <v>37675</v>
      </c>
      <c r="L48" s="377">
        <f t="shared" si="9"/>
        <v>35996.252999999997</v>
      </c>
      <c r="M48" s="377">
        <f t="shared" si="9"/>
        <v>43542.5</v>
      </c>
      <c r="N48" s="377">
        <f t="shared" si="9"/>
        <v>63243.69</v>
      </c>
      <c r="O48" s="377">
        <f t="shared" si="9"/>
        <v>56128.75</v>
      </c>
      <c r="P48" s="377">
        <f t="shared" si="9"/>
        <v>9.11</v>
      </c>
      <c r="Q48" s="377">
        <f t="shared" si="9"/>
        <v>0</v>
      </c>
      <c r="R48" s="377">
        <f t="shared" si="9"/>
        <v>0</v>
      </c>
      <c r="S48" s="377">
        <f t="shared" ref="S48" si="10">SUM(S45:S47)</f>
        <v>542574.26299999992</v>
      </c>
    </row>
    <row r="49" spans="1:19" ht="15" x14ac:dyDescent="0.2">
      <c r="A49" s="37"/>
      <c r="B49" s="37"/>
      <c r="C49" s="37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4"/>
    </row>
    <row r="50" spans="1:19" ht="16.5" thickBot="1" x14ac:dyDescent="0.3">
      <c r="A50" s="295" t="s">
        <v>224</v>
      </c>
      <c r="B50" s="37"/>
      <c r="C50" s="37"/>
      <c r="D50" s="379">
        <f>D43+D48</f>
        <v>258805</v>
      </c>
      <c r="E50" s="379">
        <f t="shared" ref="E50:S50" si="11">E43+E48</f>
        <v>318895.79000000004</v>
      </c>
      <c r="F50" s="379">
        <f t="shared" si="11"/>
        <v>239441.37999999998</v>
      </c>
      <c r="G50" s="379">
        <f t="shared" si="11"/>
        <v>203849</v>
      </c>
      <c r="H50" s="379">
        <f t="shared" si="11"/>
        <v>176461</v>
      </c>
      <c r="I50" s="379">
        <f t="shared" si="11"/>
        <v>180849</v>
      </c>
      <c r="J50" s="379">
        <f t="shared" si="11"/>
        <v>243752.25</v>
      </c>
      <c r="K50" s="379">
        <f t="shared" si="11"/>
        <v>197848.25</v>
      </c>
      <c r="L50" s="379">
        <f t="shared" si="11"/>
        <v>192078.003</v>
      </c>
      <c r="M50" s="379">
        <f t="shared" si="11"/>
        <v>231226.5</v>
      </c>
      <c r="N50" s="379">
        <f t="shared" si="11"/>
        <v>318584</v>
      </c>
      <c r="O50" s="379">
        <f t="shared" si="11"/>
        <v>284459</v>
      </c>
      <c r="P50" s="379">
        <f t="shared" si="11"/>
        <v>47.249999999993015</v>
      </c>
      <c r="Q50" s="379">
        <f t="shared" si="11"/>
        <v>0</v>
      </c>
      <c r="R50" s="379">
        <f t="shared" si="11"/>
        <v>0</v>
      </c>
      <c r="S50" s="380">
        <f t="shared" si="11"/>
        <v>2846296.423</v>
      </c>
    </row>
  </sheetData>
  <printOptions horizontalCentered="1"/>
  <pageMargins left="0.45" right="0.45" top="0.75" bottom="0.75" header="0.3" footer="0.3"/>
  <pageSetup scale="4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M50"/>
  <sheetViews>
    <sheetView workbookViewId="0">
      <pane ySplit="4" topLeftCell="A5" activePane="bottomLeft" state="frozen"/>
      <selection activeCell="L17" sqref="L17"/>
      <selection pane="bottomLeft"/>
    </sheetView>
  </sheetViews>
  <sheetFormatPr defaultRowHeight="12.75" x14ac:dyDescent="0.2"/>
  <cols>
    <col min="1" max="1" width="5.7109375" customWidth="1"/>
    <col min="2" max="2" width="30.28515625" bestFit="1" customWidth="1"/>
    <col min="3" max="3" width="11.5703125" customWidth="1"/>
    <col min="4" max="4" width="11.7109375" bestFit="1" customWidth="1"/>
    <col min="5" max="5" width="11.5703125" customWidth="1"/>
    <col min="6" max="6" width="1.140625" customWidth="1"/>
    <col min="7" max="7" width="11.28515625" bestFit="1" customWidth="1"/>
    <col min="8" max="8" width="10.85546875" bestFit="1" customWidth="1"/>
    <col min="9" max="9" width="9.85546875" customWidth="1"/>
    <col min="11" max="11" width="8.42578125" bestFit="1" customWidth="1"/>
    <col min="12" max="12" width="3" bestFit="1" customWidth="1"/>
    <col min="13" max="13" width="11.28515625" customWidth="1"/>
  </cols>
  <sheetData>
    <row r="1" spans="1:13" ht="15.75" x14ac:dyDescent="0.25">
      <c r="A1" s="286" t="s">
        <v>216</v>
      </c>
      <c r="B1" s="287"/>
      <c r="C1" s="287"/>
      <c r="D1" s="287"/>
      <c r="E1" s="287"/>
      <c r="F1" s="287"/>
      <c r="G1" s="287"/>
      <c r="H1" s="287"/>
      <c r="I1" s="287"/>
    </row>
    <row r="2" spans="1:13" x14ac:dyDescent="0.2">
      <c r="A2" s="288" t="s">
        <v>330</v>
      </c>
      <c r="B2" s="287"/>
      <c r="C2" s="287"/>
      <c r="D2" s="287"/>
      <c r="E2" s="287"/>
      <c r="F2" s="287"/>
      <c r="G2" s="287"/>
      <c r="H2" s="287"/>
      <c r="I2" s="287"/>
    </row>
    <row r="3" spans="1:13" x14ac:dyDescent="0.2">
      <c r="C3" s="8"/>
      <c r="D3" s="8"/>
      <c r="E3" s="8"/>
      <c r="F3" s="8"/>
      <c r="G3" s="8"/>
      <c r="H3" s="8"/>
    </row>
    <row r="4" spans="1:13" ht="56.25" customHeight="1" thickBot="1" x14ac:dyDescent="0.25">
      <c r="A4" s="124"/>
      <c r="B4" s="124"/>
      <c r="C4" s="289" t="s">
        <v>243</v>
      </c>
      <c r="D4" s="289" t="s">
        <v>193</v>
      </c>
      <c r="E4" s="290" t="s">
        <v>244</v>
      </c>
      <c r="F4" s="290"/>
      <c r="G4" s="289" t="s">
        <v>329</v>
      </c>
      <c r="H4" s="289" t="s">
        <v>199</v>
      </c>
      <c r="I4" s="291" t="s">
        <v>200</v>
      </c>
      <c r="K4" s="275"/>
      <c r="L4" s="275"/>
      <c r="M4" s="276" t="s">
        <v>201</v>
      </c>
    </row>
    <row r="5" spans="1:13" x14ac:dyDescent="0.2">
      <c r="A5" s="269" t="s">
        <v>194</v>
      </c>
      <c r="G5" s="272"/>
      <c r="I5" s="274"/>
      <c r="K5" s="279" t="s">
        <v>202</v>
      </c>
      <c r="L5" s="277">
        <v>1</v>
      </c>
      <c r="M5" s="278">
        <f>L5/12</f>
        <v>8.3333333333333329E-2</v>
      </c>
    </row>
    <row r="6" spans="1:13" x14ac:dyDescent="0.2">
      <c r="A6" s="269"/>
      <c r="B6" s="12" t="s">
        <v>363</v>
      </c>
      <c r="C6" s="9">
        <f>'9397 BOEE'!S8</f>
        <v>1504151.69</v>
      </c>
      <c r="D6" s="9"/>
      <c r="E6" s="271">
        <f>C6+D6</f>
        <v>1504151.69</v>
      </c>
      <c r="F6" s="271"/>
      <c r="G6" s="273">
        <f>'9397 BOEE'!U8</f>
        <v>1554181</v>
      </c>
      <c r="H6" s="9"/>
      <c r="I6" s="274"/>
      <c r="K6" s="279" t="s">
        <v>203</v>
      </c>
      <c r="L6" s="277">
        <v>2</v>
      </c>
      <c r="M6" s="278">
        <f t="shared" ref="M6:M16" si="0">L6/12</f>
        <v>0.16666666666666666</v>
      </c>
    </row>
    <row r="7" spans="1:13" x14ac:dyDescent="0.2">
      <c r="A7" s="269"/>
      <c r="C7" s="9"/>
      <c r="D7" s="9"/>
      <c r="G7" s="273"/>
      <c r="H7" s="9"/>
      <c r="I7" s="274"/>
      <c r="K7" s="279" t="s">
        <v>204</v>
      </c>
      <c r="L7" s="277">
        <v>3</v>
      </c>
      <c r="M7" s="278">
        <f t="shared" si="0"/>
        <v>0.25</v>
      </c>
    </row>
    <row r="8" spans="1:13" x14ac:dyDescent="0.2">
      <c r="A8" s="267" t="str">
        <f>'9397 BOEE'!A11</f>
        <v>234</v>
      </c>
      <c r="B8" s="266" t="str">
        <f>'9397 BOEE'!B11</f>
        <v>Gov Transfer In Other Agencies</v>
      </c>
      <c r="C8" s="9">
        <f>'9397 BOEE'!S11</f>
        <v>98.75</v>
      </c>
      <c r="D8" s="9"/>
      <c r="E8" s="271">
        <f t="shared" ref="E8:E10" si="1">C8+D8</f>
        <v>98.75</v>
      </c>
      <c r="F8" s="271"/>
      <c r="G8" s="273">
        <f>'9397 BOEE'!U11</f>
        <v>6000</v>
      </c>
      <c r="H8" s="9"/>
      <c r="I8" s="274"/>
      <c r="K8" s="279" t="s">
        <v>205</v>
      </c>
      <c r="L8" s="277">
        <v>4</v>
      </c>
      <c r="M8" s="278">
        <f t="shared" si="0"/>
        <v>0.33333333333333331</v>
      </c>
    </row>
    <row r="9" spans="1:13" x14ac:dyDescent="0.2">
      <c r="A9" s="267" t="str">
        <f>'9397 BOEE'!A12</f>
        <v>401</v>
      </c>
      <c r="B9" s="266" t="str">
        <f>'9397 BOEE'!B12</f>
        <v>Fees, Licenses &amp; Permits</v>
      </c>
      <c r="C9" s="9">
        <f>'9397 BOEE'!S12</f>
        <v>1096385.25</v>
      </c>
      <c r="D9" s="9"/>
      <c r="E9" s="271">
        <f t="shared" si="1"/>
        <v>1096385.25</v>
      </c>
      <c r="F9" s="271"/>
      <c r="G9" s="273">
        <f>'9397 BOEE'!U12</f>
        <v>1800000</v>
      </c>
      <c r="H9" s="9"/>
      <c r="I9" s="274"/>
      <c r="K9" s="279" t="s">
        <v>206</v>
      </c>
      <c r="L9" s="277">
        <v>5</v>
      </c>
      <c r="M9" s="278">
        <f t="shared" si="0"/>
        <v>0.41666666666666669</v>
      </c>
    </row>
    <row r="10" spans="1:13" x14ac:dyDescent="0.2">
      <c r="A10" s="267" t="str">
        <f>'9397 BOEE'!A14</f>
        <v>704</v>
      </c>
      <c r="B10" s="266" t="str">
        <f>'9397 BOEE'!B14</f>
        <v>Other</v>
      </c>
      <c r="C10" s="9">
        <f>'9397 BOEE'!S14</f>
        <v>373681.25</v>
      </c>
      <c r="D10" s="9"/>
      <c r="E10" s="271">
        <f t="shared" si="1"/>
        <v>373681.25</v>
      </c>
      <c r="F10" s="271"/>
      <c r="G10" s="273">
        <f>'9397 BOEE'!U14</f>
        <v>590000</v>
      </c>
      <c r="H10" s="9"/>
      <c r="I10" s="274"/>
      <c r="K10" s="279" t="s">
        <v>207</v>
      </c>
      <c r="L10" s="277">
        <v>6</v>
      </c>
      <c r="M10" s="278">
        <f t="shared" si="0"/>
        <v>0.5</v>
      </c>
    </row>
    <row r="11" spans="1:13" x14ac:dyDescent="0.2">
      <c r="A11" s="267"/>
      <c r="B11" s="268" t="s">
        <v>196</v>
      </c>
      <c r="C11" s="281">
        <f t="shared" ref="C11:E11" si="2">SUM(C6:C10)</f>
        <v>2974316.94</v>
      </c>
      <c r="D11" s="281">
        <f t="shared" ref="D11" si="3">SUM(D6:D10)</f>
        <v>0</v>
      </c>
      <c r="E11" s="281">
        <f t="shared" si="2"/>
        <v>2974316.94</v>
      </c>
      <c r="F11" s="281"/>
      <c r="G11" s="282">
        <f>SUM(G6:G10)</f>
        <v>3950181</v>
      </c>
      <c r="H11" s="281"/>
      <c r="I11" s="274"/>
      <c r="K11" s="279" t="s">
        <v>208</v>
      </c>
      <c r="L11" s="277">
        <v>7</v>
      </c>
      <c r="M11" s="278">
        <f t="shared" si="0"/>
        <v>0.58333333333333337</v>
      </c>
    </row>
    <row r="12" spans="1:13" ht="13.5" thickBot="1" x14ac:dyDescent="0.25">
      <c r="A12" s="267"/>
      <c r="B12" s="270" t="s">
        <v>197</v>
      </c>
      <c r="C12" s="283">
        <f>SUM(C8:C10)</f>
        <v>1470165.25</v>
      </c>
      <c r="D12" s="283">
        <f>SUM(D8:D10)</f>
        <v>0</v>
      </c>
      <c r="E12" s="283">
        <f>SUM(E8:E10)</f>
        <v>1470165.25</v>
      </c>
      <c r="F12" s="283"/>
      <c r="G12" s="284">
        <f>SUM(G8:G10)</f>
        <v>2396000</v>
      </c>
      <c r="H12" s="285">
        <f>G12-E12</f>
        <v>925834.75</v>
      </c>
      <c r="I12" s="274">
        <f>IF(G12=0,0,E12/G12)</f>
        <v>0.61359150667779627</v>
      </c>
      <c r="K12" s="279" t="s">
        <v>209</v>
      </c>
      <c r="L12" s="277">
        <v>8</v>
      </c>
      <c r="M12" s="278">
        <f t="shared" si="0"/>
        <v>0.66666666666666663</v>
      </c>
    </row>
    <row r="13" spans="1:13" ht="13.5" thickTop="1" x14ac:dyDescent="0.2">
      <c r="C13" s="9"/>
      <c r="D13" s="9"/>
      <c r="G13" s="273"/>
      <c r="H13" s="9"/>
      <c r="I13" s="274"/>
      <c r="K13" s="279" t="s">
        <v>210</v>
      </c>
      <c r="L13" s="277">
        <v>9</v>
      </c>
      <c r="M13" s="278">
        <f t="shared" si="0"/>
        <v>0.75</v>
      </c>
    </row>
    <row r="14" spans="1:13" x14ac:dyDescent="0.2">
      <c r="A14" s="269" t="s">
        <v>191</v>
      </c>
      <c r="C14" s="9"/>
      <c r="D14" s="9"/>
      <c r="G14" s="273"/>
      <c r="H14" s="9"/>
      <c r="I14" s="274"/>
      <c r="K14" s="279" t="s">
        <v>211</v>
      </c>
      <c r="L14" s="277">
        <v>10</v>
      </c>
      <c r="M14" s="278">
        <f t="shared" si="0"/>
        <v>0.83333333333333337</v>
      </c>
    </row>
    <row r="15" spans="1:13" x14ac:dyDescent="0.2">
      <c r="A15" s="267" t="str">
        <f>'9397 BOEE'!A19</f>
        <v>101</v>
      </c>
      <c r="B15" s="266" t="str">
        <f>'9397 BOEE'!B19</f>
        <v>Personal Services</v>
      </c>
      <c r="C15" s="9">
        <f>'9397 BOEE'!S19</f>
        <v>1163400.76</v>
      </c>
      <c r="D15" s="9"/>
      <c r="E15" s="271">
        <f t="shared" ref="E15:E42" si="4">C15+D15</f>
        <v>1163400.76</v>
      </c>
      <c r="F15" s="271"/>
      <c r="G15" s="273">
        <f>'9397 BOEE'!U19</f>
        <v>1912643</v>
      </c>
      <c r="H15" s="9">
        <f>G15-E15</f>
        <v>749242.24</v>
      </c>
      <c r="I15" s="274">
        <f t="shared" ref="I15:I43" si="5">IF(G15=0,0,E15/G15)</f>
        <v>0.60826864187409779</v>
      </c>
      <c r="K15" s="279" t="s">
        <v>212</v>
      </c>
      <c r="L15" s="277">
        <v>11</v>
      </c>
      <c r="M15" s="278">
        <f t="shared" si="0"/>
        <v>0.91666666666666663</v>
      </c>
    </row>
    <row r="16" spans="1:13" x14ac:dyDescent="0.2">
      <c r="A16" s="267" t="str">
        <f>'9397 BOEE'!A20</f>
        <v>202</v>
      </c>
      <c r="B16" s="266" t="str">
        <f>'9397 BOEE'!B20</f>
        <v>In State Travel</v>
      </c>
      <c r="C16" s="9">
        <f>'9397 BOEE'!S20</f>
        <v>6964.4900000000007</v>
      </c>
      <c r="D16" s="9"/>
      <c r="E16" s="271">
        <f t="shared" si="4"/>
        <v>6964.4900000000007</v>
      </c>
      <c r="F16" s="271"/>
      <c r="G16" s="273">
        <f>'9397 BOEE'!U20</f>
        <v>21000</v>
      </c>
      <c r="H16" s="9">
        <f t="shared" ref="H16:H42" si="6">G16-D16-C16</f>
        <v>14035.509999999998</v>
      </c>
      <c r="I16" s="274">
        <f t="shared" si="5"/>
        <v>0.33164238095238097</v>
      </c>
      <c r="K16" s="279" t="s">
        <v>213</v>
      </c>
      <c r="L16" s="277">
        <v>12</v>
      </c>
      <c r="M16" s="278">
        <f t="shared" si="0"/>
        <v>1</v>
      </c>
    </row>
    <row r="17" spans="1:9" x14ac:dyDescent="0.2">
      <c r="A17" s="267" t="str">
        <f>'9397 BOEE'!A21</f>
        <v>205</v>
      </c>
      <c r="B17" s="266" t="str">
        <f>'9397 BOEE'!B21</f>
        <v>Out Of State Travel</v>
      </c>
      <c r="C17" s="9">
        <f>'9397 BOEE'!S21</f>
        <v>385.68</v>
      </c>
      <c r="D17" s="9"/>
      <c r="E17" s="271">
        <f t="shared" si="4"/>
        <v>385.68</v>
      </c>
      <c r="F17" s="271"/>
      <c r="G17" s="273">
        <f>'9397 BOEE'!U21</f>
        <v>20000</v>
      </c>
      <c r="H17" s="9">
        <f t="shared" si="6"/>
        <v>19614.32</v>
      </c>
      <c r="I17" s="274">
        <f t="shared" si="5"/>
        <v>1.9283999999999999E-2</v>
      </c>
    </row>
    <row r="18" spans="1:9" x14ac:dyDescent="0.2">
      <c r="A18" s="267" t="str">
        <f>'9397 BOEE'!A22</f>
        <v>301</v>
      </c>
      <c r="B18" s="266" t="str">
        <f>'9397 BOEE'!B22</f>
        <v>Office Supplies</v>
      </c>
      <c r="C18" s="9">
        <f>'9397 BOEE'!S22</f>
        <v>1022.3599999999999</v>
      </c>
      <c r="D18" s="9"/>
      <c r="E18" s="271">
        <f t="shared" si="4"/>
        <v>1022.3599999999999</v>
      </c>
      <c r="F18" s="271"/>
      <c r="G18" s="273">
        <f>'9397 BOEE'!U22</f>
        <v>10500</v>
      </c>
      <c r="H18" s="9">
        <f t="shared" si="6"/>
        <v>9477.64</v>
      </c>
      <c r="I18" s="274">
        <f t="shared" si="5"/>
        <v>9.7367619047619036E-2</v>
      </c>
    </row>
    <row r="19" spans="1:9" x14ac:dyDescent="0.2">
      <c r="A19" s="267" t="s">
        <v>234</v>
      </c>
      <c r="B19" s="266" t="s">
        <v>235</v>
      </c>
      <c r="C19" s="9">
        <f>'9397 BOEE'!S23</f>
        <v>0</v>
      </c>
      <c r="D19" s="9"/>
      <c r="E19" s="271">
        <f t="shared" ref="E19" si="7">C19+D19</f>
        <v>0</v>
      </c>
      <c r="F19" s="271"/>
      <c r="G19" s="273">
        <f>'9397 BOEE'!U23</f>
        <v>1000</v>
      </c>
      <c r="H19" s="9">
        <v>0</v>
      </c>
      <c r="I19" s="274">
        <f t="shared" si="5"/>
        <v>0</v>
      </c>
    </row>
    <row r="20" spans="1:9" x14ac:dyDescent="0.2">
      <c r="A20" s="267" t="str">
        <f>'9397 BOEE'!A24</f>
        <v>308</v>
      </c>
      <c r="B20" s="266" t="str">
        <f>'9397 BOEE'!B24</f>
        <v>Other Supplies</v>
      </c>
      <c r="C20" s="9">
        <f>'9397 BOEE'!S24</f>
        <v>0</v>
      </c>
      <c r="D20" s="9"/>
      <c r="E20" s="271">
        <f t="shared" si="4"/>
        <v>0</v>
      </c>
      <c r="F20" s="271"/>
      <c r="G20" s="273">
        <f>'9397 BOEE'!U24</f>
        <v>0</v>
      </c>
      <c r="H20" s="9">
        <f t="shared" si="6"/>
        <v>0</v>
      </c>
      <c r="I20" s="274">
        <f t="shared" si="5"/>
        <v>0</v>
      </c>
    </row>
    <row r="21" spans="1:9" x14ac:dyDescent="0.2">
      <c r="A21" s="267" t="str">
        <f>'9397 BOEE'!A25</f>
        <v>309</v>
      </c>
      <c r="B21" s="266" t="str">
        <f>'9397 BOEE'!B25</f>
        <v>Printing &amp; Binding</v>
      </c>
      <c r="C21" s="9">
        <f>'9397 BOEE'!S25</f>
        <v>160</v>
      </c>
      <c r="D21" s="9"/>
      <c r="E21" s="271">
        <f t="shared" si="4"/>
        <v>160</v>
      </c>
      <c r="F21" s="271"/>
      <c r="G21" s="273">
        <f>'9397 BOEE'!U25</f>
        <v>3500</v>
      </c>
      <c r="H21" s="9">
        <f t="shared" si="6"/>
        <v>3340</v>
      </c>
      <c r="I21" s="274">
        <f t="shared" si="5"/>
        <v>4.5714285714285714E-2</v>
      </c>
    </row>
    <row r="22" spans="1:9" x14ac:dyDescent="0.2">
      <c r="A22" s="267" t="s">
        <v>125</v>
      </c>
      <c r="B22" s="266" t="s">
        <v>126</v>
      </c>
      <c r="C22" s="9">
        <f>'9397 BOEE'!S26</f>
        <v>0</v>
      </c>
      <c r="D22" s="9"/>
      <c r="E22" s="271">
        <f t="shared" ref="E22" si="8">C22+D22</f>
        <v>0</v>
      </c>
      <c r="F22" s="271"/>
      <c r="G22" s="273">
        <f>'9397 BOEE'!U26</f>
        <v>0</v>
      </c>
      <c r="H22" s="9">
        <f t="shared" ref="H22" si="9">G22-D22-C22</f>
        <v>0</v>
      </c>
      <c r="I22" s="274">
        <f t="shared" ref="I22" si="10">IF(G22=0,0,E22/G22)</f>
        <v>0</v>
      </c>
    </row>
    <row r="23" spans="1:9" x14ac:dyDescent="0.2">
      <c r="A23" s="267" t="str">
        <f>'9397 BOEE'!A27</f>
        <v>313</v>
      </c>
      <c r="B23" s="266" t="str">
        <f>'9397 BOEE'!B27</f>
        <v>Postage</v>
      </c>
      <c r="C23" s="9">
        <f>'9397 BOEE'!S27</f>
        <v>3245.2000000000003</v>
      </c>
      <c r="D23" s="9"/>
      <c r="E23" s="271">
        <f t="shared" si="4"/>
        <v>3245.2000000000003</v>
      </c>
      <c r="F23" s="271"/>
      <c r="G23" s="273">
        <f>'9397 BOEE'!U27</f>
        <v>12500</v>
      </c>
      <c r="H23" s="9">
        <f t="shared" si="6"/>
        <v>9254.7999999999993</v>
      </c>
      <c r="I23" s="274">
        <f t="shared" si="5"/>
        <v>0.25961600000000001</v>
      </c>
    </row>
    <row r="24" spans="1:9" x14ac:dyDescent="0.2">
      <c r="A24" s="267" t="str">
        <f>'9397 BOEE'!A28</f>
        <v>401</v>
      </c>
      <c r="B24" s="266" t="str">
        <f>'9397 BOEE'!B28</f>
        <v>Communications</v>
      </c>
      <c r="C24" s="9">
        <f>'9397 BOEE'!S28</f>
        <v>9751.880000000001</v>
      </c>
      <c r="D24" s="9"/>
      <c r="E24" s="271">
        <f t="shared" si="4"/>
        <v>9751.880000000001</v>
      </c>
      <c r="F24" s="271"/>
      <c r="G24" s="273">
        <f>'9397 BOEE'!U28</f>
        <v>20000.11</v>
      </c>
      <c r="H24" s="9">
        <f t="shared" si="6"/>
        <v>10248.23</v>
      </c>
      <c r="I24" s="274">
        <f t="shared" si="5"/>
        <v>0.48759131824774965</v>
      </c>
    </row>
    <row r="25" spans="1:9" x14ac:dyDescent="0.2">
      <c r="A25" s="267" t="str">
        <f>'9397 BOEE'!A29</f>
        <v>402</v>
      </c>
      <c r="B25" s="266" t="str">
        <f>'9397 BOEE'!B29</f>
        <v>Rentals</v>
      </c>
      <c r="C25" s="9">
        <f>'9397 BOEE'!S29</f>
        <v>36750</v>
      </c>
      <c r="D25" s="9"/>
      <c r="E25" s="271">
        <f t="shared" si="4"/>
        <v>36750</v>
      </c>
      <c r="F25" s="271"/>
      <c r="G25" s="273">
        <f>'9397 BOEE'!U29</f>
        <v>71500</v>
      </c>
      <c r="H25" s="9">
        <f t="shared" si="6"/>
        <v>34750</v>
      </c>
      <c r="I25" s="274">
        <f t="shared" si="5"/>
        <v>0.51398601398601396</v>
      </c>
    </row>
    <row r="26" spans="1:9" x14ac:dyDescent="0.2">
      <c r="A26" s="267" t="s">
        <v>237</v>
      </c>
      <c r="B26" s="266" t="s">
        <v>238</v>
      </c>
      <c r="C26" s="9">
        <f>'9397 BOEE'!S30</f>
        <v>1548.4899999999998</v>
      </c>
      <c r="D26" s="9"/>
      <c r="E26" s="271">
        <f t="shared" ref="E26" si="11">C26+D26</f>
        <v>1548.4899999999998</v>
      </c>
      <c r="F26" s="271"/>
      <c r="G26" s="273">
        <f>'9397 BOEE'!U30</f>
        <v>4000.25</v>
      </c>
      <c r="H26" s="9">
        <f t="shared" ref="H26" si="12">G26-D26-C26</f>
        <v>2451.7600000000002</v>
      </c>
      <c r="I26" s="274">
        <f t="shared" si="5"/>
        <v>0.38709830635585268</v>
      </c>
    </row>
    <row r="27" spans="1:9" x14ac:dyDescent="0.2">
      <c r="A27" s="267" t="str">
        <f>'9397 BOEE'!A31</f>
        <v>405</v>
      </c>
      <c r="B27" s="266" t="str">
        <f>'9397 BOEE'!B31</f>
        <v>Prof &amp; Scientific Services</v>
      </c>
      <c r="C27" s="9">
        <f>'9397 BOEE'!S31</f>
        <v>2183.92</v>
      </c>
      <c r="D27" s="9"/>
      <c r="E27" s="271">
        <f t="shared" si="4"/>
        <v>2183.92</v>
      </c>
      <c r="F27" s="271"/>
      <c r="G27" s="273">
        <f>'9397 BOEE'!U31</f>
        <v>5000</v>
      </c>
      <c r="H27" s="9">
        <f t="shared" si="6"/>
        <v>2816.08</v>
      </c>
      <c r="I27" s="274">
        <f t="shared" si="5"/>
        <v>0.43678400000000001</v>
      </c>
    </row>
    <row r="28" spans="1:9" x14ac:dyDescent="0.2">
      <c r="A28" s="267" t="str">
        <f>'9397 BOEE'!A32</f>
        <v>406</v>
      </c>
      <c r="B28" s="266" t="str">
        <f>'9397 BOEE'!B32</f>
        <v>Outside Services</v>
      </c>
      <c r="C28" s="9">
        <f>'9397 BOEE'!S32</f>
        <v>3196.93</v>
      </c>
      <c r="D28" s="9"/>
      <c r="E28" s="271">
        <f t="shared" si="4"/>
        <v>3196.93</v>
      </c>
      <c r="F28" s="271"/>
      <c r="G28" s="273">
        <f>'9397 BOEE'!U32</f>
        <v>6000</v>
      </c>
      <c r="H28" s="9">
        <f t="shared" si="6"/>
        <v>2803.07</v>
      </c>
      <c r="I28" s="274">
        <f t="shared" si="5"/>
        <v>0.53282166666666664</v>
      </c>
    </row>
    <row r="29" spans="1:9" x14ac:dyDescent="0.2">
      <c r="A29" s="267" t="str">
        <f>'9397 BOEE'!A33</f>
        <v>408</v>
      </c>
      <c r="B29" s="266" t="str">
        <f>'9397 BOEE'!B33</f>
        <v>Advertising &amp; Publicity</v>
      </c>
      <c r="C29" s="9">
        <f>'9397 BOEE'!S33</f>
        <v>0</v>
      </c>
      <c r="D29" s="9"/>
      <c r="E29" s="271">
        <f t="shared" si="4"/>
        <v>0</v>
      </c>
      <c r="F29" s="271"/>
      <c r="G29" s="273">
        <f>'9397 BOEE'!U33</f>
        <v>199.67000000000002</v>
      </c>
      <c r="H29" s="9">
        <f t="shared" si="6"/>
        <v>199.67000000000002</v>
      </c>
      <c r="I29" s="274">
        <f t="shared" si="5"/>
        <v>0</v>
      </c>
    </row>
    <row r="30" spans="1:9" x14ac:dyDescent="0.2">
      <c r="A30" s="267" t="str">
        <f>'9397 BOEE'!A34</f>
        <v>409</v>
      </c>
      <c r="B30" s="266" t="str">
        <f>'9397 BOEE'!B34</f>
        <v>Outside Repairs/Service</v>
      </c>
      <c r="C30" s="9">
        <f>'9397 BOEE'!S34</f>
        <v>211.89999999999998</v>
      </c>
      <c r="D30" s="9"/>
      <c r="E30" s="271">
        <f t="shared" si="4"/>
        <v>211.89999999999998</v>
      </c>
      <c r="F30" s="271"/>
      <c r="G30" s="273">
        <f>'9397 BOEE'!U34</f>
        <v>1000</v>
      </c>
      <c r="H30" s="9">
        <f t="shared" si="6"/>
        <v>788.1</v>
      </c>
      <c r="I30" s="274">
        <f t="shared" si="5"/>
        <v>0.21189999999999998</v>
      </c>
    </row>
    <row r="31" spans="1:9" x14ac:dyDescent="0.2">
      <c r="A31" s="267" t="str">
        <f>'9397 BOEE'!A35</f>
        <v>414</v>
      </c>
      <c r="B31" s="266" t="str">
        <f>'9397 BOEE'!B35</f>
        <v>Reimbursements To Other Agency</v>
      </c>
      <c r="C31" s="9">
        <f>'9397 BOEE'!S35</f>
        <v>6770.3799999999992</v>
      </c>
      <c r="D31" s="9"/>
      <c r="E31" s="271">
        <f t="shared" si="4"/>
        <v>6770.3799999999992</v>
      </c>
      <c r="F31" s="271"/>
      <c r="G31" s="273">
        <f>'9397 BOEE'!U35</f>
        <v>8000</v>
      </c>
      <c r="H31" s="9">
        <f t="shared" si="6"/>
        <v>1229.6200000000008</v>
      </c>
      <c r="I31" s="274">
        <f t="shared" si="5"/>
        <v>0.84629749999999992</v>
      </c>
    </row>
    <row r="32" spans="1:9" x14ac:dyDescent="0.2">
      <c r="A32" s="267" t="str">
        <f>'9397 BOEE'!A36</f>
        <v>416</v>
      </c>
      <c r="B32" s="266" t="str">
        <f>'9397 BOEE'!B36</f>
        <v>ITD Reimbursements</v>
      </c>
      <c r="C32" s="9">
        <f>'9397 BOEE'!S36</f>
        <v>198203.95</v>
      </c>
      <c r="D32" s="9"/>
      <c r="E32" s="271">
        <f t="shared" si="4"/>
        <v>198203.95</v>
      </c>
      <c r="F32" s="271"/>
      <c r="G32" s="273">
        <f>'9397 BOEE'!U36</f>
        <v>210000</v>
      </c>
      <c r="H32" s="9">
        <f t="shared" si="6"/>
        <v>11796.049999999988</v>
      </c>
      <c r="I32" s="274">
        <f t="shared" si="5"/>
        <v>0.94382833333333338</v>
      </c>
    </row>
    <row r="33" spans="1:9" x14ac:dyDescent="0.2">
      <c r="A33" s="267" t="str">
        <f>'9397 BOEE'!A37</f>
        <v>418</v>
      </c>
      <c r="B33" s="266" t="str">
        <f>'9397 BOEE'!B37</f>
        <v>IT Outside Services</v>
      </c>
      <c r="C33" s="9">
        <f>'9397 BOEE'!S37</f>
        <v>0</v>
      </c>
      <c r="D33" s="9"/>
      <c r="E33" s="271">
        <f t="shared" si="4"/>
        <v>0</v>
      </c>
      <c r="F33" s="271"/>
      <c r="G33" s="273">
        <f>'9397 BOEE'!U37</f>
        <v>25000</v>
      </c>
      <c r="H33" s="9">
        <f t="shared" si="6"/>
        <v>25000</v>
      </c>
      <c r="I33" s="274">
        <f t="shared" si="5"/>
        <v>0</v>
      </c>
    </row>
    <row r="34" spans="1:9" x14ac:dyDescent="0.2">
      <c r="A34" s="267" t="str">
        <f>'9397 BOEE'!A38</f>
        <v>432</v>
      </c>
      <c r="B34" s="266" t="str">
        <f>'9397 BOEE'!B38</f>
        <v>Attorney General Reimbursement</v>
      </c>
      <c r="C34" s="9">
        <f>'9397 BOEE'!S38</f>
        <v>0</v>
      </c>
      <c r="D34" s="9"/>
      <c r="E34" s="271">
        <f t="shared" si="4"/>
        <v>0</v>
      </c>
      <c r="F34" s="271"/>
      <c r="G34" s="273">
        <f>'9397 BOEE'!U38</f>
        <v>54000</v>
      </c>
      <c r="H34" s="9">
        <f t="shared" si="6"/>
        <v>54000</v>
      </c>
      <c r="I34" s="274">
        <f t="shared" si="5"/>
        <v>0</v>
      </c>
    </row>
    <row r="35" spans="1:9" x14ac:dyDescent="0.2">
      <c r="A35" s="267" t="str">
        <f>'9397 BOEE'!A39</f>
        <v>434</v>
      </c>
      <c r="B35" s="266" t="str">
        <f>'9397 BOEE'!B39</f>
        <v>Gov Transfer Other Agencies</v>
      </c>
      <c r="C35" s="9">
        <f>'9397 BOEE'!S39</f>
        <v>88085.079999999987</v>
      </c>
      <c r="D35" s="9"/>
      <c r="E35" s="271">
        <f t="shared" si="4"/>
        <v>88085.079999999987</v>
      </c>
      <c r="F35" s="271"/>
      <c r="G35" s="273">
        <f>'9397 BOEE'!U39</f>
        <v>320000</v>
      </c>
      <c r="H35" s="9">
        <f t="shared" si="6"/>
        <v>231914.92</v>
      </c>
      <c r="I35" s="274">
        <f t="shared" si="5"/>
        <v>0.27526587499999994</v>
      </c>
    </row>
    <row r="36" spans="1:9" x14ac:dyDescent="0.2">
      <c r="A36" s="267" t="str">
        <f>'9397 BOEE'!A40</f>
        <v>501</v>
      </c>
      <c r="B36" s="266" t="str">
        <f>'9397 BOEE'!B40</f>
        <v>Equipment</v>
      </c>
      <c r="C36" s="9">
        <f>'9397 BOEE'!S40</f>
        <v>0</v>
      </c>
      <c r="D36" s="9"/>
      <c r="E36" s="271">
        <f t="shared" ref="E36" si="13">C36+D36</f>
        <v>0</v>
      </c>
      <c r="F36" s="271"/>
      <c r="G36" s="273">
        <f>'9397 BOEE'!U40</f>
        <v>0</v>
      </c>
      <c r="H36" s="9">
        <f t="shared" ref="H36" si="14">G36-D36-C36</f>
        <v>0</v>
      </c>
      <c r="I36" s="274">
        <f t="shared" ref="I36" si="15">IF(G36=0,0,E36/G36)</f>
        <v>0</v>
      </c>
    </row>
    <row r="37" spans="1:9" x14ac:dyDescent="0.2">
      <c r="A37" s="267" t="str">
        <f>'9397 BOEE'!A41</f>
        <v>502</v>
      </c>
      <c r="B37" s="266" t="str">
        <f>'9397 BOEE'!B41</f>
        <v>Office Equipment</v>
      </c>
      <c r="C37" s="9">
        <f>'9397 BOEE'!S41</f>
        <v>0</v>
      </c>
      <c r="D37" s="9"/>
      <c r="E37" s="271">
        <f t="shared" si="4"/>
        <v>0</v>
      </c>
      <c r="F37" s="271"/>
      <c r="G37" s="273">
        <f>'9397 BOEE'!U41</f>
        <v>0</v>
      </c>
      <c r="H37" s="9">
        <f t="shared" si="6"/>
        <v>0</v>
      </c>
      <c r="I37" s="274">
        <f t="shared" si="5"/>
        <v>0</v>
      </c>
    </row>
    <row r="38" spans="1:9" x14ac:dyDescent="0.2">
      <c r="A38" s="267" t="str">
        <f>'9397 BOEE'!A42</f>
        <v>503</v>
      </c>
      <c r="B38" s="266" t="str">
        <f>'9397 BOEE'!B42</f>
        <v>Equipment-Non Inventory</v>
      </c>
      <c r="C38" s="9">
        <f>'9397 BOEE'!S42</f>
        <v>0</v>
      </c>
      <c r="D38" s="9"/>
      <c r="E38" s="271">
        <f t="shared" si="4"/>
        <v>0</v>
      </c>
      <c r="F38" s="271"/>
      <c r="G38" s="273">
        <f>'9397 BOEE'!U42</f>
        <v>0</v>
      </c>
      <c r="H38" s="9">
        <f t="shared" si="6"/>
        <v>0</v>
      </c>
      <c r="I38" s="274">
        <f t="shared" si="5"/>
        <v>0</v>
      </c>
    </row>
    <row r="39" spans="1:9" x14ac:dyDescent="0.2">
      <c r="A39" s="267" t="str">
        <f>'9397 BOEE'!A43</f>
        <v>510</v>
      </c>
      <c r="B39" s="266" t="str">
        <f>'9397 BOEE'!B43</f>
        <v>IT Equipment &amp; Software</v>
      </c>
      <c r="C39" s="9">
        <f>'9397 BOEE'!S43</f>
        <v>21494.880000000001</v>
      </c>
      <c r="D39" s="9"/>
      <c r="E39" s="271">
        <f t="shared" si="4"/>
        <v>21494.880000000001</v>
      </c>
      <c r="F39" s="271"/>
      <c r="G39" s="273">
        <f>'9397 BOEE'!U43</f>
        <v>32268</v>
      </c>
      <c r="H39" s="9">
        <f t="shared" si="6"/>
        <v>10773.119999999999</v>
      </c>
      <c r="I39" s="274">
        <f t="shared" si="5"/>
        <v>0.66613611007809603</v>
      </c>
    </row>
    <row r="40" spans="1:9" x14ac:dyDescent="0.2">
      <c r="A40" s="267" t="str">
        <f>'9397 BOEE'!A44</f>
        <v>602</v>
      </c>
      <c r="B40" s="266" t="str">
        <f>'9397 BOEE'!B44</f>
        <v>Other Expenses &amp; Obligations</v>
      </c>
      <c r="C40" s="9">
        <f>'9397 BOEE'!S44</f>
        <v>19073.330000000002</v>
      </c>
      <c r="D40" s="9"/>
      <c r="E40" s="271">
        <f t="shared" si="4"/>
        <v>19073.330000000002</v>
      </c>
      <c r="F40" s="271"/>
      <c r="G40" s="273">
        <f>'9397 BOEE'!U44</f>
        <v>42000</v>
      </c>
      <c r="H40" s="9">
        <f t="shared" si="6"/>
        <v>22926.67</v>
      </c>
      <c r="I40" s="274">
        <f t="shared" si="5"/>
        <v>0.45412690476190481</v>
      </c>
    </row>
    <row r="41" spans="1:9" x14ac:dyDescent="0.2">
      <c r="A41" s="267" t="str">
        <f>'9397 BOEE'!A45</f>
        <v>702</v>
      </c>
      <c r="B41" s="266" t="str">
        <f>'9397 BOEE'!B45</f>
        <v>Fees</v>
      </c>
      <c r="C41" s="9">
        <f>'9397 BOEE'!S45</f>
        <v>0</v>
      </c>
      <c r="D41" s="9"/>
      <c r="E41" s="271">
        <f t="shared" si="4"/>
        <v>0</v>
      </c>
      <c r="F41" s="271"/>
      <c r="G41" s="273">
        <f>'9397 BOEE'!U45</f>
        <v>0</v>
      </c>
      <c r="H41" s="9">
        <f t="shared" si="6"/>
        <v>0</v>
      </c>
      <c r="I41" s="274">
        <f t="shared" si="5"/>
        <v>0</v>
      </c>
    </row>
    <row r="42" spans="1:9" x14ac:dyDescent="0.2">
      <c r="A42" s="267" t="str">
        <f>'9397 BOEE'!A46</f>
        <v>705</v>
      </c>
      <c r="B42" s="266" t="str">
        <f>'9397 BOEE'!B46</f>
        <v>Refunds-Other</v>
      </c>
      <c r="C42" s="9">
        <f>'9397 BOEE'!S46</f>
        <v>0</v>
      </c>
      <c r="D42" s="9"/>
      <c r="E42" s="271">
        <f t="shared" si="4"/>
        <v>0</v>
      </c>
      <c r="F42" s="271"/>
      <c r="G42" s="273">
        <f>'9397 BOEE'!U46</f>
        <v>5000</v>
      </c>
      <c r="H42" s="9">
        <f t="shared" si="6"/>
        <v>5000</v>
      </c>
      <c r="I42" s="274">
        <f t="shared" si="5"/>
        <v>0</v>
      </c>
    </row>
    <row r="43" spans="1:9" x14ac:dyDescent="0.2">
      <c r="A43" s="266"/>
      <c r="B43" s="268" t="s">
        <v>192</v>
      </c>
      <c r="C43" s="280">
        <f>SUM(C15:C42)</f>
        <v>1562449.2299999995</v>
      </c>
      <c r="D43" s="280">
        <f>SUM(D15:D42)</f>
        <v>0</v>
      </c>
      <c r="E43" s="280">
        <f>SUM(E15:E42)</f>
        <v>1562449.2299999995</v>
      </c>
      <c r="F43" s="280"/>
      <c r="G43" s="280">
        <f>SUM(G15:G42)</f>
        <v>2785111.0300000003</v>
      </c>
      <c r="H43" s="280">
        <f>SUM(H15:H42)</f>
        <v>1221661.7999999998</v>
      </c>
      <c r="I43" s="274">
        <f t="shared" si="5"/>
        <v>0.56100069734024194</v>
      </c>
    </row>
    <row r="44" spans="1:9" x14ac:dyDescent="0.2">
      <c r="I44" s="274"/>
    </row>
    <row r="45" spans="1:9" ht="13.5" thickBot="1" x14ac:dyDescent="0.25">
      <c r="B45" s="12" t="s">
        <v>214</v>
      </c>
      <c r="C45" s="283">
        <f>C12-C43</f>
        <v>-92283.979999999516</v>
      </c>
      <c r="I45" s="274"/>
    </row>
    <row r="46" spans="1:9" ht="13.5" thickTop="1" x14ac:dyDescent="0.2">
      <c r="C46" s="285"/>
      <c r="I46" s="274"/>
    </row>
    <row r="47" spans="1:9" ht="13.5" thickBot="1" x14ac:dyDescent="0.25">
      <c r="B47" s="12" t="s">
        <v>215</v>
      </c>
      <c r="C47" s="283">
        <f>C6+C45</f>
        <v>1411867.7100000004</v>
      </c>
      <c r="I47" s="274"/>
    </row>
    <row r="48" spans="1:9" ht="13.5" thickTop="1" x14ac:dyDescent="0.2">
      <c r="I48" s="274"/>
    </row>
    <row r="49" spans="9:9" x14ac:dyDescent="0.2">
      <c r="I49" s="274"/>
    </row>
    <row r="50" spans="9:9" x14ac:dyDescent="0.2">
      <c r="I50" s="274"/>
    </row>
  </sheetData>
  <conditionalFormatting sqref="I4">
    <cfRule type="cellIs" dxfId="6" priority="7" operator="greaterThan">
      <formula>0.67</formula>
    </cfRule>
  </conditionalFormatting>
  <conditionalFormatting sqref="I12 I15:I21 I27:I35 I37:I43 I23:I25">
    <cfRule type="cellIs" dxfId="5" priority="6" operator="greaterThan">
      <formula>$M$16</formula>
    </cfRule>
  </conditionalFormatting>
  <conditionalFormatting sqref="I26">
    <cfRule type="cellIs" dxfId="4" priority="4" operator="greaterThan">
      <formula>$M$16</formula>
    </cfRule>
  </conditionalFormatting>
  <conditionalFormatting sqref="I36">
    <cfRule type="cellIs" dxfId="3" priority="2" operator="greaterThan">
      <formula>$M$16</formula>
    </cfRule>
  </conditionalFormatting>
  <conditionalFormatting sqref="I22">
    <cfRule type="cellIs" dxfId="2" priority="1" operator="greaterThan">
      <formula>$M$16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N53"/>
  <sheetViews>
    <sheetView tabSelected="1" workbookViewId="0">
      <pane ySplit="4" topLeftCell="A13" activePane="bottomLeft" state="frozen"/>
      <selection pane="bottomLeft" activeCell="E1" sqref="E1:E1048576"/>
    </sheetView>
  </sheetViews>
  <sheetFormatPr defaultRowHeight="12.75" x14ac:dyDescent="0.2"/>
  <cols>
    <col min="2" max="2" width="5.7109375" customWidth="1"/>
    <col min="3" max="3" width="30.28515625" bestFit="1" customWidth="1"/>
    <col min="4" max="4" width="11.5703125" customWidth="1"/>
    <col min="5" max="5" width="11.7109375" hidden="1" customWidth="1"/>
    <col min="6" max="6" width="11.5703125" customWidth="1"/>
    <col min="7" max="7" width="1.140625" customWidth="1"/>
    <col min="8" max="8" width="30.28515625" bestFit="1" customWidth="1"/>
    <col min="9" max="9" width="10.85546875" bestFit="1" customWidth="1"/>
    <col min="10" max="10" width="9.85546875" customWidth="1"/>
    <col min="12" max="12" width="8.42578125" bestFit="1" customWidth="1"/>
    <col min="13" max="13" width="3" bestFit="1" customWidth="1"/>
    <col min="14" max="14" width="11.28515625" customWidth="1"/>
  </cols>
  <sheetData>
    <row r="1" spans="1:14" ht="15.75" x14ac:dyDescent="0.25">
      <c r="B1" s="286" t="s">
        <v>43</v>
      </c>
      <c r="C1" s="287"/>
      <c r="D1" s="287"/>
      <c r="E1" s="287"/>
      <c r="F1" s="287"/>
      <c r="G1" s="287"/>
      <c r="H1" s="287"/>
      <c r="I1" s="287"/>
      <c r="J1" s="287"/>
    </row>
    <row r="2" spans="1:14" x14ac:dyDescent="0.2">
      <c r="B2" s="288" t="s">
        <v>330</v>
      </c>
      <c r="C2" s="287"/>
      <c r="D2" s="287"/>
      <c r="E2" s="287"/>
      <c r="F2" s="287"/>
      <c r="G2" s="287"/>
      <c r="H2" s="287"/>
      <c r="I2" s="287"/>
      <c r="J2" s="287"/>
    </row>
    <row r="3" spans="1:14" x14ac:dyDescent="0.2">
      <c r="D3" s="8"/>
      <c r="E3" s="8"/>
      <c r="F3" s="8"/>
      <c r="G3" s="8"/>
      <c r="H3" s="8"/>
      <c r="I3" s="8"/>
    </row>
    <row r="4" spans="1:14" ht="56.25" customHeight="1" thickBot="1" x14ac:dyDescent="0.25">
      <c r="B4" s="124"/>
      <c r="C4" s="124"/>
      <c r="D4" s="289" t="s">
        <v>233</v>
      </c>
      <c r="E4" s="299"/>
      <c r="F4" s="300"/>
      <c r="G4" s="300"/>
      <c r="H4" s="299"/>
      <c r="I4" s="299"/>
      <c r="J4" s="291"/>
      <c r="K4" s="14"/>
      <c r="L4" s="301"/>
      <c r="M4" s="301"/>
      <c r="N4" s="302"/>
    </row>
    <row r="5" spans="1:14" x14ac:dyDescent="0.2">
      <c r="B5" s="269" t="s">
        <v>194</v>
      </c>
      <c r="E5" s="14"/>
      <c r="F5" s="14"/>
      <c r="G5" s="14"/>
      <c r="H5" s="14"/>
      <c r="I5" s="14"/>
      <c r="J5" s="303"/>
      <c r="K5" s="14"/>
      <c r="L5" s="304"/>
      <c r="M5" s="305"/>
      <c r="N5" s="306"/>
    </row>
    <row r="6" spans="1:14" x14ac:dyDescent="0.2">
      <c r="B6" s="269"/>
      <c r="C6" s="12" t="s">
        <v>195</v>
      </c>
      <c r="D6" s="9">
        <f>'Obligations vs Bgt'!E6</f>
        <v>1504151.69</v>
      </c>
      <c r="E6" s="307"/>
      <c r="F6" s="308"/>
      <c r="G6" s="308"/>
      <c r="H6" s="307"/>
      <c r="I6" s="307"/>
      <c r="J6" s="303"/>
      <c r="K6" s="14"/>
      <c r="L6" s="309"/>
      <c r="M6" s="305"/>
      <c r="N6" s="306"/>
    </row>
    <row r="7" spans="1:14" x14ac:dyDescent="0.2">
      <c r="B7" s="269"/>
      <c r="D7" s="9"/>
      <c r="E7" s="307"/>
      <c r="F7" s="14"/>
      <c r="G7" s="14"/>
      <c r="H7" s="307"/>
      <c r="I7" s="307"/>
      <c r="J7" s="303"/>
      <c r="K7" s="14"/>
      <c r="L7" s="309"/>
      <c r="M7" s="305"/>
      <c r="N7" s="306"/>
    </row>
    <row r="8" spans="1:14" x14ac:dyDescent="0.2">
      <c r="B8" s="267" t="str">
        <f>'9397 BOEE'!A11</f>
        <v>234</v>
      </c>
      <c r="C8" s="266" t="str">
        <f>'9397 BOEE'!B11</f>
        <v>Gov Transfer In Other Agencies</v>
      </c>
      <c r="D8" s="9">
        <f>'Obligations vs Bgt'!E8</f>
        <v>98.75</v>
      </c>
      <c r="E8" s="307"/>
      <c r="F8" s="308"/>
      <c r="G8" s="308"/>
      <c r="H8" s="307"/>
      <c r="I8" s="307"/>
      <c r="J8" s="303"/>
      <c r="K8" s="14"/>
      <c r="L8" s="309"/>
      <c r="M8" s="305"/>
      <c r="N8" s="306"/>
    </row>
    <row r="9" spans="1:14" x14ac:dyDescent="0.2">
      <c r="B9" s="267" t="str">
        <f>'9397 BOEE'!A12</f>
        <v>401</v>
      </c>
      <c r="C9" s="266" t="str">
        <f>'9397 BOEE'!B12</f>
        <v>Fees, Licenses &amp; Permits</v>
      </c>
      <c r="D9" s="9">
        <f>'Obligations vs Bgt'!E9</f>
        <v>1096385.25</v>
      </c>
      <c r="E9" s="307"/>
      <c r="F9" s="308"/>
      <c r="G9" s="308"/>
      <c r="H9" s="307"/>
      <c r="I9" s="307"/>
      <c r="J9" s="303"/>
      <c r="K9" s="14"/>
      <c r="L9" s="309"/>
      <c r="M9" s="305"/>
      <c r="N9" s="306"/>
    </row>
    <row r="10" spans="1:14" x14ac:dyDescent="0.2">
      <c r="B10" s="267" t="str">
        <f>'9397 BOEE'!A14</f>
        <v>704</v>
      </c>
      <c r="C10" s="266" t="str">
        <f>'9397 BOEE'!B14</f>
        <v>Other</v>
      </c>
      <c r="D10" s="9">
        <f>'Obligations vs Bgt'!E10</f>
        <v>373681.25</v>
      </c>
      <c r="E10" s="307"/>
      <c r="F10" s="308"/>
      <c r="G10" s="308"/>
      <c r="H10" s="307"/>
      <c r="I10" s="307"/>
      <c r="J10" s="303"/>
      <c r="K10" s="14"/>
      <c r="L10" s="309"/>
      <c r="M10" s="305"/>
      <c r="N10" s="306"/>
    </row>
    <row r="11" spans="1:14" x14ac:dyDescent="0.2">
      <c r="B11" s="267"/>
      <c r="C11" s="268" t="s">
        <v>196</v>
      </c>
      <c r="D11" s="281">
        <f t="shared" ref="D11" si="0">SUM(D6:D10)</f>
        <v>2974316.94</v>
      </c>
      <c r="E11" s="313"/>
      <c r="F11" s="313"/>
      <c r="G11" s="313"/>
      <c r="H11" s="313"/>
      <c r="I11" s="310"/>
      <c r="J11" s="303"/>
      <c r="K11" s="14"/>
      <c r="L11" s="309"/>
      <c r="M11" s="305"/>
      <c r="N11" s="306"/>
    </row>
    <row r="12" spans="1:14" ht="13.5" thickBot="1" x14ac:dyDescent="0.25">
      <c r="B12" s="267"/>
      <c r="C12" s="270" t="s">
        <v>197</v>
      </c>
      <c r="D12" s="283">
        <f>SUM(D8:D10)</f>
        <v>1470165.25</v>
      </c>
      <c r="E12" s="314"/>
      <c r="F12" s="314"/>
      <c r="G12" s="314"/>
      <c r="H12" s="314"/>
      <c r="I12" s="311"/>
      <c r="J12" s="303"/>
      <c r="K12" s="14"/>
      <c r="L12" s="309"/>
      <c r="M12" s="305"/>
      <c r="N12" s="306"/>
    </row>
    <row r="13" spans="1:14" ht="13.5" thickTop="1" x14ac:dyDescent="0.2">
      <c r="D13" s="9"/>
      <c r="E13" s="307"/>
      <c r="F13" s="14"/>
      <c r="G13" s="14"/>
      <c r="H13" s="307"/>
      <c r="I13" s="307"/>
      <c r="J13" s="303"/>
      <c r="K13" s="14"/>
      <c r="L13" s="309"/>
      <c r="M13" s="305"/>
      <c r="N13" s="306"/>
    </row>
    <row r="14" spans="1:14" x14ac:dyDescent="0.2">
      <c r="A14" t="s">
        <v>228</v>
      </c>
      <c r="B14" s="269" t="s">
        <v>191</v>
      </c>
      <c r="D14" s="9"/>
      <c r="E14" s="307"/>
      <c r="F14" s="14"/>
      <c r="G14" s="14"/>
      <c r="H14" s="307"/>
      <c r="I14" s="307"/>
      <c r="J14" s="303"/>
      <c r="K14" s="14"/>
      <c r="L14" s="309"/>
      <c r="M14" s="305"/>
      <c r="N14" s="306"/>
    </row>
    <row r="15" spans="1:14" x14ac:dyDescent="0.2">
      <c r="A15" s="308">
        <f t="shared" ref="A15:A42" si="1">RANK(D15,D$15:D$42)</f>
        <v>1</v>
      </c>
      <c r="B15" s="267" t="str">
        <f>'9397 BOEE'!A19</f>
        <v>101</v>
      </c>
      <c r="C15" s="266" t="str">
        <f>'9397 BOEE'!B19</f>
        <v>Personal Services</v>
      </c>
      <c r="D15" s="9">
        <f>'Obligations vs Bgt'!E15</f>
        <v>1163400.76</v>
      </c>
      <c r="F15">
        <v>1</v>
      </c>
      <c r="G15" s="308"/>
      <c r="H15" s="307" t="str">
        <f t="shared" ref="H15:H22" si="2">VLOOKUP($F15,$A$15:$D$42,3,FALSE)</f>
        <v>Personal Services</v>
      </c>
      <c r="I15" s="312">
        <f t="shared" ref="I15:I22" si="3">VLOOKUP($F15,$A$15:$D$42,4,FALSE)</f>
        <v>1163400.76</v>
      </c>
      <c r="J15" s="303"/>
      <c r="K15" s="14"/>
      <c r="L15" s="309"/>
      <c r="M15" s="305"/>
      <c r="N15" s="306"/>
    </row>
    <row r="16" spans="1:14" x14ac:dyDescent="0.2">
      <c r="A16" s="308">
        <f t="shared" si="1"/>
        <v>8</v>
      </c>
      <c r="B16" s="267" t="str">
        <f>'9397 BOEE'!A20</f>
        <v>202</v>
      </c>
      <c r="C16" s="266" t="str">
        <f>'9397 BOEE'!B20</f>
        <v>In State Travel</v>
      </c>
      <c r="D16" s="9">
        <f>'Obligations vs Bgt'!E16</f>
        <v>6964.4900000000007</v>
      </c>
      <c r="F16">
        <v>2</v>
      </c>
      <c r="G16" s="308"/>
      <c r="H16" s="307" t="str">
        <f t="shared" si="2"/>
        <v>ITD Reimbursements</v>
      </c>
      <c r="I16" s="312">
        <f t="shared" si="3"/>
        <v>198203.95</v>
      </c>
      <c r="J16" s="303"/>
      <c r="K16" s="14"/>
      <c r="L16" s="309"/>
      <c r="M16" s="305"/>
      <c r="N16" s="306"/>
    </row>
    <row r="17" spans="1:14" x14ac:dyDescent="0.2">
      <c r="A17" s="308">
        <f t="shared" si="1"/>
        <v>15</v>
      </c>
      <c r="B17" s="267" t="str">
        <f>'9397 BOEE'!A21</f>
        <v>205</v>
      </c>
      <c r="C17" s="266" t="str">
        <f>'9397 BOEE'!B21</f>
        <v>Out Of State Travel</v>
      </c>
      <c r="D17" s="9">
        <f>'Obligations vs Bgt'!E17</f>
        <v>385.68</v>
      </c>
      <c r="F17">
        <v>3</v>
      </c>
      <c r="G17" s="308"/>
      <c r="H17" s="307" t="str">
        <f t="shared" si="2"/>
        <v>Gov Transfer Other Agencies</v>
      </c>
      <c r="I17" s="312">
        <f t="shared" si="3"/>
        <v>88085.079999999987</v>
      </c>
      <c r="J17" s="303"/>
      <c r="K17" s="14"/>
      <c r="L17" s="14"/>
      <c r="M17" s="14"/>
      <c r="N17" s="14"/>
    </row>
    <row r="18" spans="1:14" x14ac:dyDescent="0.2">
      <c r="A18" s="308">
        <f t="shared" si="1"/>
        <v>14</v>
      </c>
      <c r="B18" s="267" t="str">
        <f>'9397 BOEE'!A22</f>
        <v>301</v>
      </c>
      <c r="C18" s="266" t="str">
        <f>'9397 BOEE'!B22</f>
        <v>Office Supplies</v>
      </c>
      <c r="D18" s="9">
        <f>'Obligations vs Bgt'!E18</f>
        <v>1022.3599999999999</v>
      </c>
      <c r="F18">
        <v>4</v>
      </c>
      <c r="G18" s="308"/>
      <c r="H18" s="307" t="str">
        <f t="shared" si="2"/>
        <v>Rentals</v>
      </c>
      <c r="I18" s="312">
        <f t="shared" si="3"/>
        <v>36750</v>
      </c>
      <c r="J18" s="303"/>
      <c r="K18" s="14"/>
      <c r="L18" s="14"/>
      <c r="M18" s="14"/>
      <c r="N18" s="14"/>
    </row>
    <row r="19" spans="1:14" x14ac:dyDescent="0.2">
      <c r="A19" s="308">
        <f t="shared" si="1"/>
        <v>18</v>
      </c>
      <c r="B19" s="267" t="s">
        <v>234</v>
      </c>
      <c r="C19" s="266" t="s">
        <v>235</v>
      </c>
      <c r="D19" s="9">
        <f>'Obligations vs Bgt'!E19</f>
        <v>0</v>
      </c>
      <c r="F19">
        <v>5</v>
      </c>
      <c r="G19" s="308"/>
      <c r="H19" s="307" t="str">
        <f t="shared" si="2"/>
        <v>IT Equipment &amp; Software</v>
      </c>
      <c r="I19" s="312">
        <f t="shared" si="3"/>
        <v>21494.880000000001</v>
      </c>
      <c r="J19" s="303"/>
      <c r="K19" s="14"/>
      <c r="L19" s="14"/>
      <c r="M19" s="14"/>
      <c r="N19" s="14"/>
    </row>
    <row r="20" spans="1:14" x14ac:dyDescent="0.2">
      <c r="A20" s="308">
        <f t="shared" si="1"/>
        <v>18</v>
      </c>
      <c r="B20" s="267" t="str">
        <f>'9397 BOEE'!A24</f>
        <v>308</v>
      </c>
      <c r="C20" s="266" t="str">
        <f>'9397 BOEE'!B24</f>
        <v>Other Supplies</v>
      </c>
      <c r="D20" s="9">
        <f>'Obligations vs Bgt'!E20</f>
        <v>0</v>
      </c>
      <c r="F20">
        <v>6</v>
      </c>
      <c r="G20" s="308"/>
      <c r="H20" s="307" t="str">
        <f t="shared" si="2"/>
        <v>Other Expenses &amp; Obligations</v>
      </c>
      <c r="I20" s="312">
        <f t="shared" si="3"/>
        <v>19073.330000000002</v>
      </c>
      <c r="J20" s="303"/>
      <c r="K20" s="14"/>
      <c r="L20" s="14"/>
      <c r="M20" s="14"/>
      <c r="N20" s="14"/>
    </row>
    <row r="21" spans="1:14" x14ac:dyDescent="0.2">
      <c r="A21" s="308">
        <f t="shared" si="1"/>
        <v>17</v>
      </c>
      <c r="B21" s="267" t="str">
        <f>'9397 BOEE'!A25</f>
        <v>309</v>
      </c>
      <c r="C21" s="266" t="str">
        <f>'9397 BOEE'!B25</f>
        <v>Printing &amp; Binding</v>
      </c>
      <c r="D21" s="9">
        <f>'Obligations vs Bgt'!E21</f>
        <v>160</v>
      </c>
      <c r="F21">
        <v>7</v>
      </c>
      <c r="G21" s="308"/>
      <c r="H21" s="307" t="str">
        <f t="shared" si="2"/>
        <v>Communications</v>
      </c>
      <c r="I21" s="312">
        <f t="shared" si="3"/>
        <v>9751.880000000001</v>
      </c>
      <c r="J21" s="303"/>
      <c r="K21" s="14"/>
      <c r="L21" s="14"/>
      <c r="M21" s="14"/>
      <c r="N21" s="14"/>
    </row>
    <row r="22" spans="1:14" x14ac:dyDescent="0.2">
      <c r="A22" s="308">
        <f t="shared" si="1"/>
        <v>18</v>
      </c>
      <c r="B22" s="267" t="s">
        <v>125</v>
      </c>
      <c r="C22" s="266" t="s">
        <v>126</v>
      </c>
      <c r="D22" s="9">
        <f>'Obligations vs Bgt'!E22</f>
        <v>0</v>
      </c>
      <c r="F22">
        <v>8</v>
      </c>
      <c r="G22" s="308"/>
      <c r="H22" s="307" t="str">
        <f t="shared" si="2"/>
        <v>In State Travel</v>
      </c>
      <c r="I22" s="312">
        <f t="shared" si="3"/>
        <v>6964.4900000000007</v>
      </c>
      <c r="J22" s="303"/>
      <c r="K22" s="14"/>
      <c r="L22" s="14"/>
      <c r="M22" s="14"/>
      <c r="N22" s="14"/>
    </row>
    <row r="23" spans="1:14" x14ac:dyDescent="0.2">
      <c r="A23" s="308">
        <f t="shared" si="1"/>
        <v>10</v>
      </c>
      <c r="B23" s="267" t="str">
        <f>'9397 BOEE'!A27</f>
        <v>313</v>
      </c>
      <c r="C23" s="266" t="str">
        <f>'9397 BOEE'!B27</f>
        <v>Postage</v>
      </c>
      <c r="D23" s="9">
        <f>'Obligations vs Bgt'!E23</f>
        <v>3245.2000000000003</v>
      </c>
      <c r="G23" s="308"/>
      <c r="H23" s="307" t="s">
        <v>249</v>
      </c>
      <c r="I23" s="312">
        <f>I25-SUM(I15:I22)</f>
        <v>18724.859999999637</v>
      </c>
      <c r="J23" s="303"/>
      <c r="K23" s="14"/>
      <c r="L23" s="14"/>
      <c r="M23" s="14"/>
      <c r="N23" s="14"/>
    </row>
    <row r="24" spans="1:14" x14ac:dyDescent="0.2">
      <c r="A24" s="308">
        <f t="shared" si="1"/>
        <v>7</v>
      </c>
      <c r="B24" s="267" t="str">
        <f>'9397 BOEE'!A28</f>
        <v>401</v>
      </c>
      <c r="C24" s="266" t="str">
        <f>'9397 BOEE'!B28</f>
        <v>Communications</v>
      </c>
      <c r="D24" s="9">
        <f>'Obligations vs Bgt'!E24</f>
        <v>9751.880000000001</v>
      </c>
      <c r="G24" s="308"/>
      <c r="H24" s="307"/>
      <c r="I24" s="312"/>
      <c r="J24" s="303"/>
      <c r="K24" s="14"/>
      <c r="L24" s="14"/>
      <c r="M24" s="14"/>
      <c r="N24" s="14"/>
    </row>
    <row r="25" spans="1:14" x14ac:dyDescent="0.2">
      <c r="A25" s="308">
        <f t="shared" si="1"/>
        <v>4</v>
      </c>
      <c r="B25" s="267" t="str">
        <f>'9397 BOEE'!A29</f>
        <v>402</v>
      </c>
      <c r="C25" s="266" t="str">
        <f>'9397 BOEE'!B29</f>
        <v>Rentals</v>
      </c>
      <c r="D25" s="9">
        <f>'Obligations vs Bgt'!E25</f>
        <v>36750</v>
      </c>
      <c r="G25" s="308"/>
      <c r="H25" s="307" t="s">
        <v>192</v>
      </c>
      <c r="I25" s="312">
        <f>D43</f>
        <v>1562449.2299999995</v>
      </c>
      <c r="J25" s="303"/>
      <c r="K25" s="14"/>
      <c r="L25" s="14"/>
      <c r="M25" s="14"/>
      <c r="N25" s="14"/>
    </row>
    <row r="26" spans="1:14" x14ac:dyDescent="0.2">
      <c r="A26" s="308">
        <f t="shared" si="1"/>
        <v>13</v>
      </c>
      <c r="B26" s="267" t="s">
        <v>237</v>
      </c>
      <c r="C26" s="266" t="s">
        <v>238</v>
      </c>
      <c r="D26" s="9">
        <f>'Obligations vs Bgt'!E26</f>
        <v>1548.4899999999998</v>
      </c>
      <c r="G26" s="308"/>
      <c r="J26" s="303"/>
      <c r="K26" s="14"/>
      <c r="L26" s="14"/>
      <c r="M26" s="14"/>
      <c r="N26" s="14"/>
    </row>
    <row r="27" spans="1:14" x14ac:dyDescent="0.2">
      <c r="A27" s="308">
        <f t="shared" si="1"/>
        <v>12</v>
      </c>
      <c r="B27" s="267" t="str">
        <f>'9397 BOEE'!A31</f>
        <v>405</v>
      </c>
      <c r="C27" s="266" t="str">
        <f>'9397 BOEE'!B31</f>
        <v>Prof &amp; Scientific Services</v>
      </c>
      <c r="D27" s="9">
        <f>'Obligations vs Bgt'!E27</f>
        <v>2183.92</v>
      </c>
      <c r="G27" s="308"/>
      <c r="H27" s="307"/>
      <c r="I27" s="307"/>
      <c r="J27" s="303"/>
      <c r="K27" s="14"/>
      <c r="L27" s="14"/>
      <c r="M27" s="14"/>
      <c r="N27" s="14"/>
    </row>
    <row r="28" spans="1:14" x14ac:dyDescent="0.2">
      <c r="A28" s="308">
        <f t="shared" si="1"/>
        <v>11</v>
      </c>
      <c r="B28" s="267" t="str">
        <f>'9397 BOEE'!A32</f>
        <v>406</v>
      </c>
      <c r="C28" s="266" t="str">
        <f>'9397 BOEE'!B32</f>
        <v>Outside Services</v>
      </c>
      <c r="D28" s="9">
        <f>'Obligations vs Bgt'!E28</f>
        <v>3196.93</v>
      </c>
      <c r="G28" s="308"/>
      <c r="H28" s="307"/>
      <c r="I28" s="307"/>
      <c r="J28" s="303"/>
      <c r="K28" s="14"/>
      <c r="L28" s="14"/>
      <c r="M28" s="14"/>
      <c r="N28" s="14"/>
    </row>
    <row r="29" spans="1:14" x14ac:dyDescent="0.2">
      <c r="A29" s="308">
        <f t="shared" si="1"/>
        <v>18</v>
      </c>
      <c r="B29" s="267" t="str">
        <f>'9397 BOEE'!A33</f>
        <v>408</v>
      </c>
      <c r="C29" s="266" t="str">
        <f>'9397 BOEE'!B33</f>
        <v>Advertising &amp; Publicity</v>
      </c>
      <c r="D29" s="9">
        <f>'Obligations vs Bgt'!E29</f>
        <v>0</v>
      </c>
      <c r="G29" s="308"/>
      <c r="H29" s="307"/>
      <c r="I29" s="307"/>
      <c r="J29" s="303"/>
      <c r="K29" s="14"/>
      <c r="L29" s="14"/>
      <c r="M29" s="14"/>
      <c r="N29" s="14"/>
    </row>
    <row r="30" spans="1:14" x14ac:dyDescent="0.2">
      <c r="A30" s="308">
        <f t="shared" si="1"/>
        <v>16</v>
      </c>
      <c r="B30" s="267" t="str">
        <f>'9397 BOEE'!A34</f>
        <v>409</v>
      </c>
      <c r="C30" s="266" t="str">
        <f>'9397 BOEE'!B34</f>
        <v>Outside Repairs/Service</v>
      </c>
      <c r="D30" s="9">
        <f>'Obligations vs Bgt'!E30</f>
        <v>211.89999999999998</v>
      </c>
      <c r="G30" s="308"/>
      <c r="H30" s="307"/>
      <c r="I30" s="307"/>
      <c r="J30" s="303"/>
      <c r="K30" s="14"/>
      <c r="L30" s="14"/>
      <c r="M30" s="14"/>
      <c r="N30" s="14"/>
    </row>
    <row r="31" spans="1:14" x14ac:dyDescent="0.2">
      <c r="A31" s="308">
        <f t="shared" si="1"/>
        <v>9</v>
      </c>
      <c r="B31" s="267" t="str">
        <f>'9397 BOEE'!A35</f>
        <v>414</v>
      </c>
      <c r="C31" s="266" t="str">
        <f>'9397 BOEE'!B35</f>
        <v>Reimbursements To Other Agency</v>
      </c>
      <c r="D31" s="9">
        <f>'Obligations vs Bgt'!E31</f>
        <v>6770.3799999999992</v>
      </c>
      <c r="G31" s="308"/>
      <c r="H31" s="307"/>
      <c r="I31" s="307"/>
      <c r="J31" s="303"/>
      <c r="K31" s="14"/>
      <c r="L31" s="14"/>
      <c r="M31" s="14"/>
      <c r="N31" s="14"/>
    </row>
    <row r="32" spans="1:14" x14ac:dyDescent="0.2">
      <c r="A32" s="308">
        <f t="shared" si="1"/>
        <v>2</v>
      </c>
      <c r="B32" s="267" t="str">
        <f>'9397 BOEE'!A36</f>
        <v>416</v>
      </c>
      <c r="C32" s="266" t="str">
        <f>'9397 BOEE'!B36</f>
        <v>ITD Reimbursements</v>
      </c>
      <c r="D32" s="9">
        <f>'Obligations vs Bgt'!E32</f>
        <v>198203.95</v>
      </c>
      <c r="G32" s="308"/>
      <c r="H32" s="307"/>
      <c r="I32" s="307"/>
      <c r="J32" s="303"/>
      <c r="K32" s="14"/>
      <c r="L32" s="14"/>
      <c r="M32" s="14"/>
      <c r="N32" s="14"/>
    </row>
    <row r="33" spans="1:14" x14ac:dyDescent="0.2">
      <c r="A33" s="308">
        <f t="shared" si="1"/>
        <v>18</v>
      </c>
      <c r="B33" s="267" t="str">
        <f>'9397 BOEE'!A37</f>
        <v>418</v>
      </c>
      <c r="C33" s="266" t="str">
        <f>'9397 BOEE'!B37</f>
        <v>IT Outside Services</v>
      </c>
      <c r="D33" s="9">
        <f>'Obligations vs Bgt'!E33</f>
        <v>0</v>
      </c>
      <c r="G33" s="308"/>
      <c r="H33" s="307"/>
      <c r="I33" s="307"/>
      <c r="J33" s="303"/>
      <c r="K33" s="14"/>
      <c r="L33" s="14"/>
      <c r="M33" s="14"/>
      <c r="N33" s="14"/>
    </row>
    <row r="34" spans="1:14" x14ac:dyDescent="0.2">
      <c r="A34" s="308">
        <f t="shared" si="1"/>
        <v>18</v>
      </c>
      <c r="B34" s="267" t="str">
        <f>'9397 BOEE'!A38</f>
        <v>432</v>
      </c>
      <c r="C34" s="266" t="str">
        <f>'9397 BOEE'!B38</f>
        <v>Attorney General Reimbursement</v>
      </c>
      <c r="D34" s="9">
        <f>'Obligations vs Bgt'!E34</f>
        <v>0</v>
      </c>
      <c r="G34" s="308"/>
      <c r="H34" s="307"/>
      <c r="I34" s="307"/>
      <c r="J34" s="303"/>
      <c r="K34" s="14"/>
      <c r="L34" s="14"/>
      <c r="M34" s="14"/>
      <c r="N34" s="14"/>
    </row>
    <row r="35" spans="1:14" x14ac:dyDescent="0.2">
      <c r="A35" s="308">
        <f t="shared" si="1"/>
        <v>3</v>
      </c>
      <c r="B35" s="267" t="str">
        <f>'9397 BOEE'!A39</f>
        <v>434</v>
      </c>
      <c r="C35" s="266" t="str">
        <f>'9397 BOEE'!B39</f>
        <v>Gov Transfer Other Agencies</v>
      </c>
      <c r="D35" s="9">
        <f>'Obligations vs Bgt'!E35</f>
        <v>88085.079999999987</v>
      </c>
      <c r="G35" s="308"/>
      <c r="H35" s="307"/>
      <c r="I35" s="307"/>
      <c r="J35" s="303"/>
      <c r="K35" s="14"/>
      <c r="L35" s="14"/>
      <c r="M35" s="14"/>
      <c r="N35" s="14"/>
    </row>
    <row r="36" spans="1:14" x14ac:dyDescent="0.2">
      <c r="A36" s="308">
        <f t="shared" si="1"/>
        <v>18</v>
      </c>
      <c r="B36" s="267" t="s">
        <v>40</v>
      </c>
      <c r="C36" s="266" t="s">
        <v>146</v>
      </c>
      <c r="D36" s="9">
        <f>'Obligations vs Bgt'!E36</f>
        <v>0</v>
      </c>
      <c r="G36" s="308"/>
      <c r="H36" s="307"/>
      <c r="I36" s="307"/>
      <c r="J36" s="303"/>
      <c r="K36" s="14"/>
      <c r="L36" s="14"/>
      <c r="M36" s="14"/>
      <c r="N36" s="14"/>
    </row>
    <row r="37" spans="1:14" x14ac:dyDescent="0.2">
      <c r="A37" s="308">
        <f t="shared" si="1"/>
        <v>18</v>
      </c>
      <c r="B37" s="267" t="str">
        <f>'9397 BOEE'!A41</f>
        <v>502</v>
      </c>
      <c r="C37" s="266" t="str">
        <f>'9397 BOEE'!B41</f>
        <v>Office Equipment</v>
      </c>
      <c r="D37" s="9">
        <f>'Obligations vs Bgt'!E37</f>
        <v>0</v>
      </c>
      <c r="G37" s="308"/>
      <c r="H37" s="307"/>
      <c r="I37" s="307"/>
      <c r="J37" s="303"/>
      <c r="K37" s="14"/>
      <c r="L37" s="14"/>
      <c r="M37" s="14"/>
      <c r="N37" s="14"/>
    </row>
    <row r="38" spans="1:14" x14ac:dyDescent="0.2">
      <c r="A38" s="308">
        <f t="shared" si="1"/>
        <v>18</v>
      </c>
      <c r="B38" s="267" t="str">
        <f>'9397 BOEE'!A42</f>
        <v>503</v>
      </c>
      <c r="C38" s="266" t="str">
        <f>'9397 BOEE'!B42</f>
        <v>Equipment-Non Inventory</v>
      </c>
      <c r="D38" s="9">
        <f>'Obligations vs Bgt'!E38</f>
        <v>0</v>
      </c>
      <c r="G38" s="308"/>
      <c r="H38" s="307"/>
      <c r="I38" s="307"/>
      <c r="J38" s="303"/>
      <c r="K38" s="14"/>
      <c r="L38" s="14"/>
      <c r="M38" s="14"/>
      <c r="N38" s="14"/>
    </row>
    <row r="39" spans="1:14" x14ac:dyDescent="0.2">
      <c r="A39" s="308">
        <f t="shared" si="1"/>
        <v>5</v>
      </c>
      <c r="B39" s="267" t="str">
        <f>'9397 BOEE'!A43</f>
        <v>510</v>
      </c>
      <c r="C39" s="266" t="str">
        <f>'9397 BOEE'!B43</f>
        <v>IT Equipment &amp; Software</v>
      </c>
      <c r="D39" s="9">
        <f>'Obligations vs Bgt'!E39</f>
        <v>21494.880000000001</v>
      </c>
      <c r="G39" s="308"/>
      <c r="H39" s="307"/>
      <c r="I39" s="307"/>
      <c r="J39" s="303"/>
      <c r="K39" s="14"/>
      <c r="L39" s="14"/>
      <c r="M39" s="14"/>
      <c r="N39" s="14"/>
    </row>
    <row r="40" spans="1:14" x14ac:dyDescent="0.2">
      <c r="A40" s="308">
        <f t="shared" si="1"/>
        <v>6</v>
      </c>
      <c r="B40" s="267" t="str">
        <f>'9397 BOEE'!A44</f>
        <v>602</v>
      </c>
      <c r="C40" s="266" t="str">
        <f>'9397 BOEE'!B44</f>
        <v>Other Expenses &amp; Obligations</v>
      </c>
      <c r="D40" s="9">
        <f>'Obligations vs Bgt'!E40</f>
        <v>19073.330000000002</v>
      </c>
      <c r="G40" s="308"/>
      <c r="H40" s="307"/>
      <c r="I40" s="307"/>
      <c r="J40" s="303"/>
      <c r="K40" s="14"/>
      <c r="L40" s="14"/>
      <c r="M40" s="14"/>
      <c r="N40" s="14"/>
    </row>
    <row r="41" spans="1:14" x14ac:dyDescent="0.2">
      <c r="A41" s="308">
        <f t="shared" si="1"/>
        <v>18</v>
      </c>
      <c r="B41" s="267" t="str">
        <f>'9397 BOEE'!A45</f>
        <v>702</v>
      </c>
      <c r="C41" s="266" t="str">
        <f>'9397 BOEE'!B45</f>
        <v>Fees</v>
      </c>
      <c r="D41" s="9">
        <f>'Obligations vs Bgt'!E41</f>
        <v>0</v>
      </c>
      <c r="G41" s="308"/>
      <c r="H41" s="307"/>
      <c r="I41" s="307"/>
      <c r="J41" s="303"/>
      <c r="K41" s="14"/>
      <c r="L41" s="14"/>
      <c r="M41" s="14"/>
      <c r="N41" s="14"/>
    </row>
    <row r="42" spans="1:14" x14ac:dyDescent="0.2">
      <c r="A42" s="308">
        <f t="shared" si="1"/>
        <v>18</v>
      </c>
      <c r="B42" s="267" t="str">
        <f>'9397 BOEE'!A46</f>
        <v>705</v>
      </c>
      <c r="C42" s="266" t="str">
        <f>'9397 BOEE'!B46</f>
        <v>Refunds-Other</v>
      </c>
      <c r="D42" s="9">
        <f>'Obligations vs Bgt'!E42</f>
        <v>0</v>
      </c>
      <c r="G42" s="308"/>
      <c r="H42" s="307"/>
      <c r="I42" s="307"/>
      <c r="J42" s="303"/>
      <c r="K42" s="14"/>
      <c r="L42" s="14"/>
      <c r="M42" s="14"/>
      <c r="N42" s="14"/>
    </row>
    <row r="43" spans="1:14" x14ac:dyDescent="0.2">
      <c r="B43" s="266"/>
      <c r="C43" s="268" t="s">
        <v>192</v>
      </c>
      <c r="D43" s="280">
        <f>SUM(D15:D42)</f>
        <v>1562449.2299999995</v>
      </c>
      <c r="G43" s="308"/>
      <c r="H43" s="307"/>
      <c r="I43" s="307"/>
      <c r="J43" s="303"/>
      <c r="K43" s="14"/>
      <c r="L43" s="14"/>
      <c r="M43" s="14"/>
      <c r="N43" s="14"/>
    </row>
    <row r="44" spans="1:14" x14ac:dyDescent="0.2">
      <c r="G44" s="308"/>
      <c r="H44" s="307"/>
      <c r="I44" s="307"/>
      <c r="J44" s="303"/>
      <c r="K44" s="14"/>
      <c r="L44" s="14"/>
      <c r="M44" s="14"/>
      <c r="N44" s="14"/>
    </row>
    <row r="45" spans="1:14" ht="13.5" thickBot="1" x14ac:dyDescent="0.25">
      <c r="C45" s="12" t="s">
        <v>214</v>
      </c>
      <c r="D45" s="283">
        <f>D12-D43</f>
        <v>-92283.979999999516</v>
      </c>
      <c r="F45" s="312"/>
      <c r="G45" s="312"/>
      <c r="H45" s="307"/>
      <c r="I45" s="307"/>
      <c r="J45" s="303"/>
      <c r="K45" s="14"/>
      <c r="L45" s="14"/>
      <c r="M45" s="14"/>
      <c r="N45" s="14"/>
    </row>
    <row r="46" spans="1:14" ht="13.5" thickTop="1" x14ac:dyDescent="0.2">
      <c r="D46" s="285"/>
      <c r="E46" s="312"/>
      <c r="F46" s="14"/>
      <c r="G46" s="14"/>
      <c r="H46" s="312"/>
      <c r="I46" s="312"/>
      <c r="J46" s="303"/>
      <c r="K46" s="14"/>
      <c r="L46" s="14"/>
      <c r="M46" s="14"/>
      <c r="N46" s="14"/>
    </row>
    <row r="47" spans="1:14" ht="13.5" thickBot="1" x14ac:dyDescent="0.25">
      <c r="C47" s="12" t="s">
        <v>215</v>
      </c>
      <c r="D47" s="283">
        <f>D6+D45</f>
        <v>1411867.7100000004</v>
      </c>
      <c r="E47" s="14"/>
      <c r="F47" s="14"/>
      <c r="G47" s="14"/>
      <c r="H47" s="14"/>
      <c r="I47" s="14"/>
      <c r="J47" s="303"/>
      <c r="K47" s="14"/>
      <c r="L47" s="14"/>
      <c r="M47" s="14"/>
      <c r="N47" s="14"/>
    </row>
    <row r="48" spans="1:14" ht="13.5" thickTop="1" x14ac:dyDescent="0.2">
      <c r="E48" s="14"/>
      <c r="F48" s="14"/>
      <c r="G48" s="14"/>
      <c r="H48" s="14"/>
      <c r="I48" s="14"/>
      <c r="J48" s="303"/>
      <c r="K48" s="14"/>
      <c r="L48" s="14"/>
      <c r="M48" s="14"/>
      <c r="N48" s="14"/>
    </row>
    <row r="49" spans="5:14" x14ac:dyDescent="0.2">
      <c r="E49" s="14"/>
      <c r="F49" s="14"/>
      <c r="G49" s="14"/>
      <c r="H49" s="14"/>
      <c r="I49" s="14"/>
      <c r="J49" s="303"/>
      <c r="K49" s="14"/>
      <c r="L49" s="14"/>
      <c r="M49" s="14"/>
      <c r="N49" s="14"/>
    </row>
    <row r="50" spans="5:14" x14ac:dyDescent="0.2">
      <c r="E50" s="14"/>
      <c r="F50" s="14"/>
      <c r="G50" s="14"/>
      <c r="H50" s="14"/>
      <c r="I50" s="14"/>
      <c r="J50" s="303"/>
      <c r="K50" s="14"/>
      <c r="L50" s="14"/>
      <c r="M50" s="14"/>
      <c r="N50" s="14"/>
    </row>
    <row r="51" spans="5:14" x14ac:dyDescent="0.2">
      <c r="E51" s="14"/>
      <c r="H51" s="14"/>
      <c r="I51" s="14"/>
      <c r="J51" s="303"/>
      <c r="K51" s="14"/>
      <c r="L51" s="14"/>
      <c r="M51" s="14"/>
      <c r="N51" s="14"/>
    </row>
    <row r="52" spans="5:14" x14ac:dyDescent="0.2">
      <c r="J52" s="274"/>
    </row>
    <row r="53" spans="5:14" x14ac:dyDescent="0.2">
      <c r="J53" s="274"/>
    </row>
  </sheetData>
  <conditionalFormatting sqref="J4">
    <cfRule type="cellIs" dxfId="1" priority="3" operator="greaterThan">
      <formula>0.67</formula>
    </cfRule>
  </conditionalFormatting>
  <conditionalFormatting sqref="J12 J15:J46">
    <cfRule type="cellIs" dxfId="0" priority="2" operator="greaterThan">
      <formula>$N$13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CD40-7C07-454A-8135-34509FC9D975}">
  <sheetPr>
    <tabColor rgb="FF00B050"/>
  </sheetPr>
  <dimension ref="A1:Y39"/>
  <sheetViews>
    <sheetView zoomScale="80" zoomScaleNormal="80" workbookViewId="0"/>
  </sheetViews>
  <sheetFormatPr defaultRowHeight="12.75" x14ac:dyDescent="0.2"/>
  <cols>
    <col min="1" max="1" width="12.42578125" customWidth="1"/>
    <col min="3" max="3" width="18.28515625" customWidth="1"/>
    <col min="4" max="21" width="15.85546875" customWidth="1"/>
  </cols>
  <sheetData>
    <row r="1" spans="1:25" ht="15.75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  <c r="Y1" s="1"/>
    </row>
    <row r="2" spans="1:25" ht="15.75" x14ac:dyDescent="0.25">
      <c r="A2" s="47" t="s">
        <v>2</v>
      </c>
      <c r="B2" s="49" t="s">
        <v>341</v>
      </c>
      <c r="C2" s="47"/>
      <c r="D2" s="48"/>
      <c r="E2" s="48"/>
      <c r="F2" s="48"/>
      <c r="G2" s="48"/>
      <c r="H2" s="48"/>
      <c r="I2" s="48"/>
      <c r="J2" s="133" t="s">
        <v>328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325</v>
      </c>
      <c r="V2" s="67"/>
      <c r="W2" s="67"/>
      <c r="X2" s="2" t="s">
        <v>5</v>
      </c>
      <c r="Y2" s="1"/>
    </row>
    <row r="3" spans="1:25" ht="15.75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0.66666666666666663</v>
      </c>
      <c r="W3" s="48"/>
      <c r="X3" s="1"/>
      <c r="Y3" s="1"/>
    </row>
    <row r="4" spans="1:25" ht="15.75" x14ac:dyDescent="0.25">
      <c r="A4" s="47" t="s">
        <v>9</v>
      </c>
      <c r="B4" s="47" t="s">
        <v>294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1"/>
      <c r="Y4" s="1"/>
    </row>
    <row r="5" spans="1:25" ht="63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327</v>
      </c>
      <c r="V5" s="53" t="s">
        <v>31</v>
      </c>
      <c r="W5" s="53" t="s">
        <v>31</v>
      </c>
      <c r="X5" s="1"/>
      <c r="Y5" s="1"/>
    </row>
    <row r="6" spans="1:25" ht="47.2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332</v>
      </c>
      <c r="U6" s="53" t="s">
        <v>333</v>
      </c>
      <c r="V6" s="55" t="s">
        <v>34</v>
      </c>
      <c r="W6" s="55" t="s">
        <v>35</v>
      </c>
      <c r="X6" s="1"/>
      <c r="Y6" s="1"/>
    </row>
    <row r="7" spans="1:25" ht="15.75" x14ac:dyDescent="0.25">
      <c r="A7" s="56"/>
      <c r="B7" s="56"/>
      <c r="C7" s="56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191"/>
      <c r="X7" s="192"/>
      <c r="Y7" s="4"/>
    </row>
    <row r="8" spans="1:25" ht="15.75" x14ac:dyDescent="0.25">
      <c r="A8" s="49" t="s">
        <v>37</v>
      </c>
      <c r="B8" s="49"/>
      <c r="C8" s="4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70"/>
      <c r="T8" s="60"/>
      <c r="U8" s="60"/>
      <c r="V8" s="62"/>
      <c r="W8" s="191"/>
      <c r="X8" s="197"/>
      <c r="Y8" s="105"/>
    </row>
    <row r="9" spans="1:25" ht="15" x14ac:dyDescent="0.2">
      <c r="A9" s="57"/>
      <c r="B9" s="57" t="s">
        <v>359</v>
      </c>
      <c r="C9" s="57"/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f>$U9*'Revenue Forecast'!N30</f>
        <v>0</v>
      </c>
      <c r="O9" s="70">
        <v>0</v>
      </c>
      <c r="P9" s="70">
        <v>0</v>
      </c>
      <c r="Q9" s="70">
        <v>0</v>
      </c>
      <c r="R9" s="70">
        <v>0</v>
      </c>
      <c r="S9" s="70">
        <f>SUMIF($D$6:$R$6,$X$2,D9:R9)</f>
        <v>0</v>
      </c>
      <c r="T9" s="70">
        <f>SUM(D9:R9)</f>
        <v>0</v>
      </c>
      <c r="U9" s="70">
        <v>239176</v>
      </c>
      <c r="V9" s="71">
        <f>IF(U9=0,0,SUMIF($D$6:$R$6,$X$2,D9:R9)/U9)</f>
        <v>0</v>
      </c>
      <c r="W9" s="199">
        <f>IF(U9=0,0,T9/U9)</f>
        <v>0</v>
      </c>
      <c r="X9" s="192"/>
      <c r="Y9" s="4"/>
    </row>
    <row r="10" spans="1:25" ht="15" x14ac:dyDescent="0.2">
      <c r="A10" s="57"/>
      <c r="B10" s="57"/>
      <c r="C10" s="57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1"/>
      <c r="W10" s="199"/>
      <c r="X10" s="192"/>
      <c r="Y10" s="4"/>
    </row>
    <row r="11" spans="1:25" ht="15.75" x14ac:dyDescent="0.25">
      <c r="A11" s="90" t="s">
        <v>131</v>
      </c>
      <c r="B11" s="90"/>
      <c r="C11" s="90"/>
      <c r="D11" s="383">
        <f t="shared" ref="D11:O11" si="0">SUM(D8:D10)</f>
        <v>0</v>
      </c>
      <c r="E11" s="383">
        <f t="shared" si="0"/>
        <v>0</v>
      </c>
      <c r="F11" s="91">
        <f t="shared" si="0"/>
        <v>0</v>
      </c>
      <c r="G11" s="91">
        <f t="shared" si="0"/>
        <v>0</v>
      </c>
      <c r="H11" s="91">
        <f t="shared" si="0"/>
        <v>0</v>
      </c>
      <c r="I11" s="91">
        <f t="shared" si="0"/>
        <v>0</v>
      </c>
      <c r="J11" s="91">
        <f t="shared" si="0"/>
        <v>0</v>
      </c>
      <c r="K11" s="91">
        <f t="shared" si="0"/>
        <v>0</v>
      </c>
      <c r="L11" s="91">
        <f t="shared" si="0"/>
        <v>0</v>
      </c>
      <c r="M11" s="91">
        <f t="shared" si="0"/>
        <v>0</v>
      </c>
      <c r="N11" s="91">
        <f t="shared" si="0"/>
        <v>0</v>
      </c>
      <c r="O11" s="91">
        <f t="shared" si="0"/>
        <v>0</v>
      </c>
      <c r="P11" s="91">
        <v>0</v>
      </c>
      <c r="Q11" s="91">
        <v>0</v>
      </c>
      <c r="R11" s="91">
        <f>SUM(R8:R10)</f>
        <v>0</v>
      </c>
      <c r="S11" s="91">
        <f>SUM(S8:S10)</f>
        <v>0</v>
      </c>
      <c r="T11" s="91">
        <f>SUM(T8:T10)</f>
        <v>0</v>
      </c>
      <c r="U11" s="91">
        <f>SUM(U8:U10)</f>
        <v>239176</v>
      </c>
      <c r="V11" s="92">
        <f>SUMIF($D$6:$R$6,$X$2,D11:R11)/U11</f>
        <v>0</v>
      </c>
      <c r="W11" s="202">
        <f>T11/U11</f>
        <v>0</v>
      </c>
      <c r="X11" s="192"/>
      <c r="Y11" s="4"/>
    </row>
    <row r="12" spans="1:25" ht="15.75" x14ac:dyDescent="0.25">
      <c r="A12" s="90"/>
      <c r="B12" s="90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/>
      <c r="W12" s="202"/>
      <c r="X12" s="192"/>
      <c r="Y12" s="4"/>
    </row>
    <row r="13" spans="1:25" ht="15.75" x14ac:dyDescent="0.25">
      <c r="A13" s="49" t="s">
        <v>43</v>
      </c>
      <c r="B13" s="49"/>
      <c r="C13" s="4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92"/>
      <c r="W13" s="202"/>
      <c r="X13" s="192"/>
      <c r="Y13" s="4"/>
    </row>
    <row r="14" spans="1:25" ht="15" x14ac:dyDescent="0.2">
      <c r="A14" s="57" t="s">
        <v>44</v>
      </c>
      <c r="B14" s="57" t="s">
        <v>45</v>
      </c>
      <c r="C14" s="57"/>
      <c r="D14" s="70">
        <v>0</v>
      </c>
      <c r="E14" s="70">
        <v>0</v>
      </c>
      <c r="F14" s="70">
        <v>0</v>
      </c>
      <c r="G14" s="70">
        <v>9906.1</v>
      </c>
      <c r="H14" s="70">
        <v>12200.34</v>
      </c>
      <c r="I14" s="70">
        <v>16005.04</v>
      </c>
      <c r="J14" s="70">
        <v>16087.46</v>
      </c>
      <c r="K14" s="70">
        <v>16131.08</v>
      </c>
      <c r="L14" s="70">
        <v>17935</v>
      </c>
      <c r="M14" s="70">
        <v>17935</v>
      </c>
      <c r="N14" s="70">
        <v>26901</v>
      </c>
      <c r="O14" s="70">
        <v>17935</v>
      </c>
      <c r="P14" s="70">
        <v>8967</v>
      </c>
      <c r="Q14" s="70">
        <f>'Fcst by Job Class'!S21</f>
        <v>0</v>
      </c>
      <c r="R14" s="70">
        <v>0</v>
      </c>
      <c r="S14" s="70">
        <f t="shared" ref="S14:S18" si="1">SUMIF($D$6:$R$6,$X$2,D14:R14)</f>
        <v>70330.02</v>
      </c>
      <c r="T14" s="70">
        <f t="shared" ref="T14:T18" si="2">SUM(D14:R14)</f>
        <v>160003.02000000002</v>
      </c>
      <c r="U14" s="70">
        <v>233152</v>
      </c>
      <c r="V14" s="71">
        <f>IF(U14=0,0,SUMIF($D$6:$R$6,$X$2,D14:R14)/U14)</f>
        <v>0.30164879563546532</v>
      </c>
      <c r="W14" s="199">
        <f>IF(U14=0,0,T14/U14)</f>
        <v>0.68626055105682138</v>
      </c>
      <c r="X14" s="206"/>
      <c r="Y14" s="317"/>
    </row>
    <row r="15" spans="1:25" ht="15" x14ac:dyDescent="0.2">
      <c r="A15" s="57" t="s">
        <v>46</v>
      </c>
      <c r="B15" s="57" t="s">
        <v>47</v>
      </c>
      <c r="C15" s="57"/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f t="shared" si="1"/>
        <v>0</v>
      </c>
      <c r="T15" s="70">
        <f t="shared" si="2"/>
        <v>0</v>
      </c>
      <c r="U15" s="70">
        <v>1000</v>
      </c>
      <c r="V15" s="71">
        <f t="shared" ref="V15:V18" si="3">IF(U15=0,0,SUMIF($D$6:$R$6,$X$2,D15:R15)/U15)</f>
        <v>0</v>
      </c>
      <c r="W15" s="199">
        <f t="shared" ref="W15:W18" si="4">IF(U15=0,0,T15/U15)</f>
        <v>0</v>
      </c>
      <c r="X15" s="206"/>
      <c r="Y15" s="317"/>
    </row>
    <row r="16" spans="1:25" ht="15" x14ac:dyDescent="0.2">
      <c r="A16" s="57" t="s">
        <v>38</v>
      </c>
      <c r="B16" s="57" t="s">
        <v>48</v>
      </c>
      <c r="C16" s="57"/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f t="shared" si="1"/>
        <v>0</v>
      </c>
      <c r="T16" s="70">
        <f t="shared" si="2"/>
        <v>0</v>
      </c>
      <c r="U16" s="70">
        <v>2500</v>
      </c>
      <c r="V16" s="71">
        <f t="shared" si="3"/>
        <v>0</v>
      </c>
      <c r="W16" s="199">
        <f t="shared" si="4"/>
        <v>0</v>
      </c>
      <c r="X16" s="206"/>
      <c r="Y16" s="317"/>
    </row>
    <row r="17" spans="1:25" ht="15" x14ac:dyDescent="0.2">
      <c r="A17" s="57" t="s">
        <v>71</v>
      </c>
      <c r="B17" s="57" t="s">
        <v>72</v>
      </c>
      <c r="C17" s="57"/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6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f t="shared" si="1"/>
        <v>6</v>
      </c>
      <c r="T17" s="70">
        <f t="shared" si="2"/>
        <v>6</v>
      </c>
      <c r="U17" s="70">
        <v>24</v>
      </c>
      <c r="V17" s="71">
        <f t="shared" si="3"/>
        <v>0.25</v>
      </c>
      <c r="W17" s="199">
        <f t="shared" si="4"/>
        <v>0.25</v>
      </c>
      <c r="X17" s="206"/>
      <c r="Y17" s="317"/>
    </row>
    <row r="18" spans="1:25" ht="15" x14ac:dyDescent="0.2">
      <c r="A18" s="320" t="s">
        <v>148</v>
      </c>
      <c r="B18" s="320" t="s">
        <v>149</v>
      </c>
      <c r="C18" s="57"/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f t="shared" si="1"/>
        <v>0</v>
      </c>
      <c r="T18" s="70">
        <f t="shared" si="2"/>
        <v>0</v>
      </c>
      <c r="U18" s="70">
        <v>2500</v>
      </c>
      <c r="V18" s="71">
        <f t="shared" si="3"/>
        <v>0</v>
      </c>
      <c r="W18" s="199">
        <f t="shared" si="4"/>
        <v>0</v>
      </c>
      <c r="X18" s="206"/>
      <c r="Y18" s="317"/>
    </row>
    <row r="19" spans="1:25" ht="15" x14ac:dyDescent="0.2">
      <c r="A19" s="57"/>
      <c r="B19" s="57"/>
      <c r="C19" s="57"/>
      <c r="D19" s="70"/>
      <c r="E19" s="70"/>
      <c r="F19" s="34"/>
      <c r="G19" s="404"/>
      <c r="H19" s="404"/>
      <c r="I19" s="404"/>
      <c r="J19" s="70"/>
      <c r="K19" s="404"/>
      <c r="L19" s="404"/>
      <c r="M19" s="405"/>
      <c r="N19" s="404"/>
      <c r="O19" s="404"/>
      <c r="P19" s="70"/>
      <c r="Q19" s="70"/>
      <c r="R19" s="70"/>
      <c r="S19" s="70"/>
      <c r="T19" s="70"/>
      <c r="U19" s="70"/>
      <c r="V19" s="71"/>
      <c r="W19" s="199"/>
      <c r="X19" s="208"/>
      <c r="Y19" s="14"/>
    </row>
    <row r="20" spans="1:25" ht="15.75" x14ac:dyDescent="0.25">
      <c r="A20" s="90" t="s">
        <v>81</v>
      </c>
      <c r="B20" s="90"/>
      <c r="C20" s="90"/>
      <c r="D20" s="91">
        <f t="shared" ref="D20:U20" si="5">SUM(D14:D19)</f>
        <v>0</v>
      </c>
      <c r="E20" s="91">
        <f t="shared" si="5"/>
        <v>0</v>
      </c>
      <c r="F20" s="91">
        <f t="shared" si="5"/>
        <v>0</v>
      </c>
      <c r="G20" s="91">
        <f t="shared" si="5"/>
        <v>9906.1</v>
      </c>
      <c r="H20" s="91">
        <f t="shared" si="5"/>
        <v>12200.34</v>
      </c>
      <c r="I20" s="91">
        <f t="shared" si="5"/>
        <v>16005.04</v>
      </c>
      <c r="J20" s="91">
        <f t="shared" si="5"/>
        <v>16093.46</v>
      </c>
      <c r="K20" s="91">
        <f t="shared" si="5"/>
        <v>16131.08</v>
      </c>
      <c r="L20" s="91">
        <f t="shared" si="5"/>
        <v>17935</v>
      </c>
      <c r="M20" s="91">
        <f t="shared" si="5"/>
        <v>17935</v>
      </c>
      <c r="N20" s="91">
        <f t="shared" si="5"/>
        <v>26901</v>
      </c>
      <c r="O20" s="91">
        <f t="shared" si="5"/>
        <v>17935</v>
      </c>
      <c r="P20" s="91">
        <f t="shared" si="5"/>
        <v>8967</v>
      </c>
      <c r="Q20" s="91">
        <f t="shared" si="5"/>
        <v>0</v>
      </c>
      <c r="R20" s="91">
        <f t="shared" si="5"/>
        <v>0</v>
      </c>
      <c r="S20" s="91">
        <f t="shared" si="5"/>
        <v>70336.02</v>
      </c>
      <c r="T20" s="91">
        <f t="shared" si="5"/>
        <v>160009.02000000002</v>
      </c>
      <c r="U20" s="91">
        <f t="shared" si="5"/>
        <v>239176</v>
      </c>
      <c r="V20" s="92">
        <f>SUMIF($D$6:$R$6,$X$2,D20:R20)/U20</f>
        <v>0.29407641234906512</v>
      </c>
      <c r="W20" s="202">
        <f>T20/U20</f>
        <v>0.66900115396193605</v>
      </c>
      <c r="X20" s="184"/>
      <c r="Y20" s="14"/>
    </row>
    <row r="21" spans="1:25" ht="15" x14ac:dyDescent="0.2">
      <c r="A21" s="93"/>
      <c r="B21" s="93"/>
      <c r="C21" s="9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94"/>
      <c r="W21" s="205"/>
      <c r="X21" s="184"/>
      <c r="Y21" s="14"/>
    </row>
    <row r="22" spans="1:25" ht="15" x14ac:dyDescent="0.2">
      <c r="A22" s="93"/>
      <c r="B22" s="93"/>
      <c r="C22" s="93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94"/>
      <c r="W22" s="205"/>
      <c r="X22" s="184"/>
      <c r="Y22" s="14"/>
    </row>
    <row r="23" spans="1:25" ht="15.75" x14ac:dyDescent="0.2">
      <c r="A23" s="90" t="s">
        <v>82</v>
      </c>
      <c r="B23" s="90"/>
      <c r="C23" s="90"/>
      <c r="D23" s="383">
        <f t="shared" ref="D23:U23" si="6">D11-D20</f>
        <v>0</v>
      </c>
      <c r="E23" s="383">
        <f t="shared" si="6"/>
        <v>0</v>
      </c>
      <c r="F23" s="91">
        <f t="shared" si="6"/>
        <v>0</v>
      </c>
      <c r="G23" s="91">
        <f t="shared" si="6"/>
        <v>-9906.1</v>
      </c>
      <c r="H23" s="91">
        <f t="shared" si="6"/>
        <v>-12200.34</v>
      </c>
      <c r="I23" s="91">
        <f t="shared" si="6"/>
        <v>-16005.04</v>
      </c>
      <c r="J23" s="91">
        <f t="shared" si="6"/>
        <v>-16093.46</v>
      </c>
      <c r="K23" s="91">
        <f t="shared" si="6"/>
        <v>-16131.08</v>
      </c>
      <c r="L23" s="91">
        <f t="shared" si="6"/>
        <v>-17935</v>
      </c>
      <c r="M23" s="91">
        <f t="shared" si="6"/>
        <v>-17935</v>
      </c>
      <c r="N23" s="91">
        <f t="shared" si="6"/>
        <v>-26901</v>
      </c>
      <c r="O23" s="91">
        <f t="shared" si="6"/>
        <v>-17935</v>
      </c>
      <c r="P23" s="91">
        <f t="shared" si="6"/>
        <v>-8967</v>
      </c>
      <c r="Q23" s="91">
        <f t="shared" si="6"/>
        <v>0</v>
      </c>
      <c r="R23" s="91">
        <f t="shared" si="6"/>
        <v>0</v>
      </c>
      <c r="S23" s="91">
        <f t="shared" si="6"/>
        <v>-70336.02</v>
      </c>
      <c r="T23" s="91">
        <f t="shared" si="6"/>
        <v>-160009.02000000002</v>
      </c>
      <c r="U23" s="91">
        <f t="shared" si="6"/>
        <v>0</v>
      </c>
      <c r="V23" s="409"/>
      <c r="W23" s="209"/>
      <c r="X23" s="184"/>
      <c r="Y23" s="14"/>
    </row>
    <row r="24" spans="1:25" ht="15.75" x14ac:dyDescent="0.2">
      <c r="A24" s="90" t="s">
        <v>312</v>
      </c>
      <c r="B24" s="90"/>
      <c r="C24" s="90"/>
      <c r="D24" s="383"/>
      <c r="E24" s="383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409"/>
      <c r="W24" s="209"/>
      <c r="X24" s="184"/>
      <c r="Y24" s="14"/>
    </row>
    <row r="25" spans="1:25" ht="15.75" x14ac:dyDescent="0.2">
      <c r="A25" s="90" t="s">
        <v>83</v>
      </c>
      <c r="B25" s="90"/>
      <c r="C25" s="90"/>
      <c r="D25" s="384">
        <f>D11-D20</f>
        <v>0</v>
      </c>
      <c r="E25" s="384">
        <f>D25+E23</f>
        <v>0</v>
      </c>
      <c r="F25" s="130">
        <f t="shared" ref="F25:R25" si="7">E25+F23</f>
        <v>0</v>
      </c>
      <c r="G25" s="130">
        <f t="shared" si="7"/>
        <v>-9906.1</v>
      </c>
      <c r="H25" s="130">
        <f>G25+H23-H24</f>
        <v>-22106.440000000002</v>
      </c>
      <c r="I25" s="130">
        <f>H25+I23-I24</f>
        <v>-38111.480000000003</v>
      </c>
      <c r="J25" s="130">
        <f>I25+J23-J24</f>
        <v>-54204.94</v>
      </c>
      <c r="K25" s="130">
        <f t="shared" si="7"/>
        <v>-70336.02</v>
      </c>
      <c r="L25" s="130">
        <f t="shared" si="7"/>
        <v>-88271.02</v>
      </c>
      <c r="M25" s="130">
        <f t="shared" si="7"/>
        <v>-106206.02</v>
      </c>
      <c r="N25" s="130">
        <f t="shared" si="7"/>
        <v>-133107.02000000002</v>
      </c>
      <c r="O25" s="130">
        <f t="shared" si="7"/>
        <v>-151042.02000000002</v>
      </c>
      <c r="P25" s="130">
        <f t="shared" si="7"/>
        <v>-160009.02000000002</v>
      </c>
      <c r="Q25" s="130">
        <f t="shared" si="7"/>
        <v>-160009.02000000002</v>
      </c>
      <c r="R25" s="130">
        <f t="shared" si="7"/>
        <v>-160009.02000000002</v>
      </c>
      <c r="S25" s="95"/>
      <c r="T25" s="95"/>
      <c r="U25" s="130">
        <f>U11-U20</f>
        <v>0</v>
      </c>
      <c r="V25" s="96" t="s">
        <v>10</v>
      </c>
      <c r="W25" s="212" t="s">
        <v>10</v>
      </c>
      <c r="X25" s="184"/>
      <c r="Y25" s="14"/>
    </row>
    <row r="26" spans="1:25" ht="18" x14ac:dyDescent="0.25">
      <c r="A26" s="406" t="s">
        <v>117</v>
      </c>
      <c r="B26" s="407"/>
      <c r="C26" s="407"/>
      <c r="D26" s="86"/>
      <c r="E26" s="86"/>
      <c r="F26" s="86"/>
      <c r="G26" s="86"/>
      <c r="H26" s="86"/>
      <c r="I26" s="86"/>
      <c r="J26" s="86"/>
      <c r="K26" s="86"/>
      <c r="L26" s="86"/>
      <c r="M26" s="34"/>
      <c r="N26" s="34"/>
      <c r="O26" s="86"/>
      <c r="P26" s="86"/>
      <c r="Q26" s="34"/>
      <c r="R26" s="34"/>
      <c r="S26" s="34"/>
      <c r="T26" s="392"/>
      <c r="U26" s="392"/>
      <c r="V26" s="392"/>
      <c r="W26" s="72"/>
      <c r="X26" s="184"/>
      <c r="Y26" s="106"/>
    </row>
    <row r="27" spans="1:25" ht="36" x14ac:dyDescent="0.25">
      <c r="A27" s="406"/>
      <c r="B27" s="407"/>
      <c r="C27" s="407"/>
      <c r="D27" s="86"/>
      <c r="E27" s="86"/>
      <c r="F27" s="86"/>
      <c r="G27" s="86"/>
      <c r="H27" s="86"/>
      <c r="I27" s="86"/>
      <c r="J27" s="86"/>
      <c r="K27" s="86"/>
      <c r="L27" s="34"/>
      <c r="M27" s="378"/>
      <c r="N27" s="34"/>
      <c r="O27" s="85"/>
      <c r="P27" s="338" t="s">
        <v>84</v>
      </c>
      <c r="Q27" s="347"/>
      <c r="R27" s="347"/>
      <c r="S27" s="348"/>
      <c r="T27" s="349" t="s">
        <v>85</v>
      </c>
      <c r="U27" s="348"/>
      <c r="V27" s="362" t="s">
        <v>302</v>
      </c>
      <c r="W27" s="350" t="s">
        <v>303</v>
      </c>
      <c r="X27" s="184"/>
      <c r="Y27" s="106"/>
    </row>
    <row r="28" spans="1:25" ht="18" x14ac:dyDescent="0.25">
      <c r="A28" s="408" t="s">
        <v>240</v>
      </c>
      <c r="B28" s="77"/>
      <c r="C28" s="407"/>
      <c r="D28" s="86"/>
      <c r="E28" s="86"/>
      <c r="F28" s="86"/>
      <c r="G28" s="86"/>
      <c r="H28" s="86"/>
      <c r="I28" s="86"/>
      <c r="J28" s="86"/>
      <c r="K28" s="86"/>
      <c r="L28" s="401"/>
      <c r="M28" s="386"/>
      <c r="N28" s="85"/>
      <c r="O28" s="85"/>
      <c r="P28" s="388" t="s">
        <v>343</v>
      </c>
      <c r="Q28" s="176" t="s">
        <v>300</v>
      </c>
      <c r="R28" s="342"/>
      <c r="S28" s="343"/>
      <c r="T28" s="174" t="s">
        <v>342</v>
      </c>
      <c r="U28" s="343"/>
      <c r="V28" s="175">
        <v>1</v>
      </c>
      <c r="W28" s="344">
        <v>1</v>
      </c>
      <c r="X28" s="184"/>
      <c r="Y28" s="106"/>
    </row>
    <row r="29" spans="1:25" ht="18" x14ac:dyDescent="0.25">
      <c r="A29" s="323"/>
      <c r="B29" s="99" t="s">
        <v>36</v>
      </c>
      <c r="C29" s="407"/>
      <c r="D29" s="86"/>
      <c r="E29" s="86"/>
      <c r="F29" s="86"/>
      <c r="G29" s="86"/>
      <c r="H29" s="86"/>
      <c r="I29" s="86"/>
      <c r="J29" s="86"/>
      <c r="K29" s="86"/>
      <c r="L29" s="73"/>
      <c r="M29" s="78"/>
      <c r="N29" s="85"/>
      <c r="O29" s="402"/>
      <c r="P29" s="346" t="s">
        <v>347</v>
      </c>
      <c r="Q29" s="176" t="s">
        <v>300</v>
      </c>
      <c r="R29" s="342"/>
      <c r="S29" s="343"/>
      <c r="T29" s="368" t="s">
        <v>346</v>
      </c>
      <c r="U29" s="369"/>
      <c r="V29" s="175">
        <v>1</v>
      </c>
      <c r="W29" s="344">
        <v>1</v>
      </c>
      <c r="X29" s="184"/>
      <c r="Y29" s="106"/>
    </row>
    <row r="30" spans="1:25" ht="18" x14ac:dyDescent="0.25">
      <c r="A30" s="34"/>
      <c r="B30" s="34"/>
      <c r="C30" s="407"/>
      <c r="D30" s="86"/>
      <c r="E30" s="86"/>
      <c r="F30" s="86"/>
      <c r="G30" s="86"/>
      <c r="H30" s="86"/>
      <c r="I30" s="86"/>
      <c r="J30" s="86"/>
      <c r="K30" s="86"/>
      <c r="L30" s="73"/>
      <c r="M30" s="78"/>
      <c r="N30" s="387"/>
      <c r="O30" s="402"/>
      <c r="P30" s="389"/>
      <c r="Q30" s="390"/>
      <c r="R30" s="73"/>
      <c r="S30" s="369"/>
      <c r="T30" s="78"/>
      <c r="U30" s="369"/>
      <c r="V30" s="79"/>
      <c r="W30" s="391"/>
      <c r="X30" s="184"/>
      <c r="Y30" s="106"/>
    </row>
    <row r="31" spans="1:25" ht="18" x14ac:dyDescent="0.25">
      <c r="A31" s="406" t="s">
        <v>43</v>
      </c>
      <c r="B31" s="77"/>
      <c r="C31" s="77"/>
      <c r="D31" s="77"/>
      <c r="E31" s="77"/>
      <c r="F31" s="77"/>
      <c r="G31" s="77"/>
      <c r="H31" s="77"/>
      <c r="I31" s="77"/>
      <c r="J31" s="77"/>
      <c r="K31" s="324"/>
      <c r="L31" s="73"/>
      <c r="M31" s="78"/>
      <c r="N31" s="387"/>
      <c r="O31" s="368"/>
      <c r="P31" s="389"/>
      <c r="Q31" s="390"/>
      <c r="R31" s="73"/>
      <c r="S31" s="369"/>
      <c r="T31" s="78" t="s">
        <v>301</v>
      </c>
      <c r="U31" s="369"/>
      <c r="V31" s="79">
        <f>SUM(V28:V30)</f>
        <v>2</v>
      </c>
      <c r="W31" s="391">
        <f>SUM(W28:W30)</f>
        <v>2</v>
      </c>
      <c r="X31" s="184"/>
      <c r="Y31" s="14"/>
    </row>
    <row r="32" spans="1:25" ht="18" x14ac:dyDescent="0.25">
      <c r="A32" s="171">
        <v>101</v>
      </c>
      <c r="B32" s="168" t="s">
        <v>358</v>
      </c>
      <c r="C32" s="77"/>
      <c r="D32" s="77"/>
      <c r="E32" s="77"/>
      <c r="F32" s="77"/>
      <c r="G32" s="77"/>
      <c r="H32" s="77"/>
      <c r="I32" s="77"/>
      <c r="J32" s="77"/>
      <c r="K32" s="324"/>
      <c r="L32" s="73"/>
      <c r="M32" s="78"/>
      <c r="N32" s="387"/>
      <c r="O32" s="368"/>
      <c r="P32" s="394"/>
      <c r="Q32" s="395"/>
      <c r="R32" s="396"/>
      <c r="S32" s="397"/>
      <c r="T32" s="398"/>
      <c r="U32" s="397"/>
      <c r="V32" s="399"/>
      <c r="W32" s="400"/>
      <c r="X32" s="184"/>
      <c r="Y32" s="14"/>
    </row>
    <row r="33" spans="1:25" ht="18" x14ac:dyDescent="0.25">
      <c r="A33" s="171">
        <v>202</v>
      </c>
      <c r="B33" s="75" t="s">
        <v>344</v>
      </c>
      <c r="C33" s="77"/>
      <c r="D33" s="77"/>
      <c r="E33" s="77"/>
      <c r="F33" s="77"/>
      <c r="G33" s="77"/>
      <c r="H33" s="77"/>
      <c r="I33" s="77"/>
      <c r="J33" s="77"/>
      <c r="K33" s="324"/>
      <c r="L33" s="73"/>
      <c r="M33" s="78"/>
      <c r="N33" s="387"/>
      <c r="O33" s="368"/>
      <c r="P33" s="14"/>
      <c r="Q33" s="14"/>
      <c r="R33" s="14"/>
      <c r="S33" s="14"/>
      <c r="T33" s="14"/>
      <c r="U33" s="14"/>
      <c r="V33" s="14"/>
      <c r="W33" s="14"/>
      <c r="X33" s="184"/>
      <c r="Y33" s="14"/>
    </row>
    <row r="34" spans="1:25" ht="18" x14ac:dyDescent="0.25">
      <c r="A34" s="171">
        <v>205</v>
      </c>
      <c r="B34" s="75" t="s">
        <v>345</v>
      </c>
      <c r="C34" s="77"/>
      <c r="D34" s="77"/>
      <c r="E34" s="77"/>
      <c r="F34" s="77"/>
      <c r="G34" s="77"/>
      <c r="H34" s="77"/>
      <c r="I34" s="77"/>
      <c r="J34" s="77"/>
      <c r="K34" s="324"/>
      <c r="L34" s="73"/>
      <c r="M34" s="78"/>
      <c r="N34" s="387"/>
      <c r="O34" s="403"/>
      <c r="P34" s="14"/>
      <c r="Q34" s="14"/>
      <c r="R34" s="14"/>
      <c r="S34" s="14"/>
      <c r="T34" s="14"/>
      <c r="U34" s="14"/>
      <c r="V34" s="14"/>
      <c r="W34" s="14"/>
      <c r="X34" s="184"/>
      <c r="Y34" s="14"/>
    </row>
    <row r="35" spans="1:25" ht="18" x14ac:dyDescent="0.25">
      <c r="A35" s="171">
        <v>414</v>
      </c>
      <c r="B35" s="77" t="s">
        <v>361</v>
      </c>
      <c r="C35" s="34"/>
      <c r="D35" s="34"/>
      <c r="E35" s="34"/>
      <c r="F35" s="34"/>
      <c r="G35" s="34"/>
      <c r="H35" s="34"/>
      <c r="I35" s="34"/>
      <c r="J35" s="34"/>
      <c r="K35" s="323"/>
      <c r="L35" s="73"/>
      <c r="M35" s="78"/>
      <c r="N35" s="73"/>
      <c r="O35" s="34"/>
      <c r="P35" s="73"/>
      <c r="Q35" s="79"/>
      <c r="R35" s="73"/>
      <c r="S35" s="369"/>
      <c r="T35" s="368"/>
      <c r="U35" s="369"/>
      <c r="V35" s="79"/>
      <c r="W35" s="79"/>
      <c r="X35" s="184"/>
      <c r="Y35" s="14"/>
    </row>
    <row r="36" spans="1:25" ht="18" x14ac:dyDescent="0.25">
      <c r="A36" s="171">
        <v>510</v>
      </c>
      <c r="B36" s="77" t="s">
        <v>348</v>
      </c>
      <c r="C36" s="34"/>
      <c r="D36" s="34"/>
      <c r="E36" s="34"/>
      <c r="F36" s="34"/>
      <c r="G36" s="34"/>
      <c r="H36" s="34"/>
      <c r="I36" s="34"/>
      <c r="J36" s="34"/>
      <c r="K36" s="323"/>
      <c r="L36" s="77"/>
      <c r="M36" s="34"/>
      <c r="N36" s="34"/>
      <c r="O36" s="34"/>
      <c r="P36" s="34"/>
      <c r="Q36" s="34"/>
      <c r="R36" s="34"/>
      <c r="S36" s="34"/>
      <c r="T36" s="392"/>
      <c r="U36" s="392"/>
      <c r="V36" s="392"/>
      <c r="W36" s="393"/>
      <c r="X36" s="184"/>
      <c r="Y36" s="14"/>
    </row>
    <row r="37" spans="1:25" ht="18" x14ac:dyDescent="0.25">
      <c r="A37" s="3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92"/>
      <c r="U37" s="392"/>
      <c r="V37" s="392"/>
      <c r="W37" s="393"/>
      <c r="X37" s="184"/>
      <c r="Y37" s="14"/>
    </row>
    <row r="38" spans="1:25" ht="18" x14ac:dyDescent="0.25">
      <c r="A38" s="37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78"/>
      <c r="Q38" s="77"/>
      <c r="R38" s="77"/>
      <c r="S38" s="324"/>
      <c r="T38" s="392"/>
      <c r="U38" s="392"/>
      <c r="V38" s="392"/>
      <c r="W38" s="393"/>
      <c r="X38" s="184"/>
      <c r="Y38" s="14"/>
    </row>
    <row r="39" spans="1:25" x14ac:dyDescent="0.2">
      <c r="B39" s="14"/>
      <c r="C39" s="14"/>
      <c r="D39" s="14"/>
      <c r="E39" s="14"/>
      <c r="F39" s="14"/>
      <c r="G39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3"/>
  <sheetViews>
    <sheetView zoomScale="75" zoomScaleNormal="75" workbookViewId="0">
      <selection activeCell="A16" sqref="A16"/>
    </sheetView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5" width="12.7109375" customWidth="1"/>
    <col min="16" max="16" width="13.28515625" bestFit="1" customWidth="1"/>
  </cols>
  <sheetData>
    <row r="1" spans="1:16" ht="15.75" x14ac:dyDescent="0.25">
      <c r="A1" s="47" t="s">
        <v>0</v>
      </c>
      <c r="B1" s="47" t="s">
        <v>94</v>
      </c>
      <c r="C1" s="47" t="s">
        <v>95</v>
      </c>
    </row>
    <row r="2" spans="1:16" ht="15.75" x14ac:dyDescent="0.25">
      <c r="A2" s="47" t="s">
        <v>2</v>
      </c>
      <c r="B2" s="49" t="s">
        <v>135</v>
      </c>
      <c r="C2" s="47"/>
    </row>
    <row r="3" spans="1:16" ht="15.75" x14ac:dyDescent="0.25">
      <c r="A3" s="47" t="s">
        <v>6</v>
      </c>
      <c r="B3" s="49" t="s">
        <v>7</v>
      </c>
      <c r="C3" s="47"/>
    </row>
    <row r="4" spans="1:16" ht="15.75" x14ac:dyDescent="0.25">
      <c r="A4" s="47" t="s">
        <v>9</v>
      </c>
      <c r="B4" s="47" t="s">
        <v>167</v>
      </c>
      <c r="C4" s="49" t="s">
        <v>136</v>
      </c>
    </row>
    <row r="5" spans="1:16" ht="15.7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28</v>
      </c>
    </row>
    <row r="6" spans="1:16" ht="15.7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</row>
    <row r="7" spans="1:16" ht="15" x14ac:dyDescent="0.2">
      <c r="A7" s="190" t="s">
        <v>5</v>
      </c>
      <c r="B7" s="190"/>
      <c r="C7" s="190"/>
    </row>
    <row r="8" spans="1:16" ht="15" x14ac:dyDescent="0.2">
      <c r="A8" s="190"/>
      <c r="B8" s="190"/>
      <c r="C8" s="190"/>
    </row>
    <row r="9" spans="1:16" ht="15.75" x14ac:dyDescent="0.25">
      <c r="A9" s="194" t="s">
        <v>281</v>
      </c>
      <c r="B9" s="194"/>
      <c r="C9" s="194"/>
    </row>
    <row r="10" spans="1:16" ht="15" x14ac:dyDescent="0.2">
      <c r="A10" s="57" t="s">
        <v>109</v>
      </c>
      <c r="B10" s="57" t="s">
        <v>110</v>
      </c>
      <c r="C10" s="193"/>
      <c r="D10" s="9">
        <v>0</v>
      </c>
      <c r="E10" s="9">
        <v>0</v>
      </c>
      <c r="F10" s="9">
        <v>138.75</v>
      </c>
      <c r="G10" s="9">
        <v>723.75</v>
      </c>
      <c r="H10" s="9">
        <v>0</v>
      </c>
      <c r="I10" s="9">
        <v>0</v>
      </c>
      <c r="J10" s="9">
        <v>1363.75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f>SUM(D10:O10)</f>
        <v>2226.25</v>
      </c>
    </row>
    <row r="11" spans="1:16" ht="15" x14ac:dyDescent="0.2">
      <c r="A11" s="57" t="s">
        <v>58</v>
      </c>
      <c r="B11" s="57" t="s">
        <v>189</v>
      </c>
      <c r="C11" s="193"/>
      <c r="D11" s="9">
        <v>173645.25</v>
      </c>
      <c r="E11" s="9">
        <v>220325.25</v>
      </c>
      <c r="F11" s="9">
        <v>116441</v>
      </c>
      <c r="G11" s="9">
        <v>121617.75</v>
      </c>
      <c r="H11" s="9">
        <v>129021.25</v>
      </c>
      <c r="I11" s="9">
        <v>116677</v>
      </c>
      <c r="J11" s="9">
        <v>154248.75</v>
      </c>
      <c r="K11" s="9">
        <v>138207</v>
      </c>
      <c r="L11" s="9">
        <v>151055.5</v>
      </c>
      <c r="M11" s="9">
        <v>134638.5</v>
      </c>
      <c r="N11" s="9">
        <v>194287.23</v>
      </c>
      <c r="O11" s="9">
        <v>232401.75</v>
      </c>
      <c r="P11" s="9">
        <f>SUM(D11:O11)</f>
        <v>1882566.23</v>
      </c>
    </row>
    <row r="12" spans="1:16" ht="15" x14ac:dyDescent="0.2">
      <c r="A12" s="193" t="s">
        <v>133</v>
      </c>
      <c r="B12" s="193" t="s">
        <v>190</v>
      </c>
      <c r="C12" s="193"/>
      <c r="D12" s="9">
        <v>49240</v>
      </c>
      <c r="E12" s="9">
        <v>63275</v>
      </c>
      <c r="F12" s="9">
        <v>40345</v>
      </c>
      <c r="G12" s="9">
        <v>44605</v>
      </c>
      <c r="H12" s="9">
        <v>55880</v>
      </c>
      <c r="I12" s="9">
        <v>48885</v>
      </c>
      <c r="J12" s="9">
        <v>59980</v>
      </c>
      <c r="K12" s="9">
        <v>52860</v>
      </c>
      <c r="L12" s="9">
        <v>59430</v>
      </c>
      <c r="M12" s="9">
        <v>50397</v>
      </c>
      <c r="N12" s="9">
        <v>57282</v>
      </c>
      <c r="O12" s="9">
        <v>58580</v>
      </c>
      <c r="P12" s="9">
        <f>SUM(D12:O12)</f>
        <v>640759</v>
      </c>
    </row>
    <row r="13" spans="1:16" x14ac:dyDescent="0.2">
      <c r="D13" s="9">
        <f>SUM(D10:D12)</f>
        <v>222885.25</v>
      </c>
      <c r="E13" s="9">
        <f t="shared" ref="E13:O13" si="0">SUM(E10:E12)</f>
        <v>283600.25</v>
      </c>
      <c r="F13" s="9">
        <f t="shared" si="0"/>
        <v>156924.75</v>
      </c>
      <c r="G13" s="9">
        <f t="shared" si="0"/>
        <v>166946.5</v>
      </c>
      <c r="H13" s="9">
        <f t="shared" si="0"/>
        <v>184901.25</v>
      </c>
      <c r="I13" s="9">
        <f t="shared" si="0"/>
        <v>165562</v>
      </c>
      <c r="J13" s="9">
        <f t="shared" si="0"/>
        <v>215592.5</v>
      </c>
      <c r="K13" s="9">
        <f t="shared" si="0"/>
        <v>191067</v>
      </c>
      <c r="L13" s="9">
        <f t="shared" si="0"/>
        <v>210485.5</v>
      </c>
      <c r="M13" s="9">
        <f t="shared" si="0"/>
        <v>185035.5</v>
      </c>
      <c r="N13" s="9">
        <f t="shared" si="0"/>
        <v>251569.23</v>
      </c>
      <c r="O13" s="9">
        <f t="shared" si="0"/>
        <v>290981.75</v>
      </c>
      <c r="P13" s="9">
        <f t="shared" ref="P13" si="1">SUM(P10:P12)</f>
        <v>2525551.48</v>
      </c>
    </row>
    <row r="15" spans="1:16" ht="15.75" x14ac:dyDescent="0.25">
      <c r="A15" s="194" t="s">
        <v>295</v>
      </c>
      <c r="B15" s="194"/>
      <c r="C15" s="194"/>
    </row>
    <row r="16" spans="1:16" ht="15" x14ac:dyDescent="0.2">
      <c r="A16" s="57" t="s">
        <v>109</v>
      </c>
      <c r="B16" s="57" t="s">
        <v>110</v>
      </c>
      <c r="C16" s="193"/>
      <c r="D16" s="9">
        <v>0</v>
      </c>
      <c r="E16" s="9">
        <v>0</v>
      </c>
      <c r="F16" s="9">
        <v>6479.74</v>
      </c>
      <c r="G16" s="9">
        <v>0</v>
      </c>
      <c r="H16" s="9">
        <v>0</v>
      </c>
      <c r="I16" s="9">
        <v>0</v>
      </c>
      <c r="J16" s="9">
        <v>0</v>
      </c>
      <c r="K16" s="9">
        <v>86.25</v>
      </c>
      <c r="L16" s="9">
        <v>93.75</v>
      </c>
      <c r="M16" s="9">
        <v>0</v>
      </c>
      <c r="N16" s="9">
        <v>0</v>
      </c>
      <c r="O16" s="9">
        <v>0</v>
      </c>
      <c r="P16" s="9">
        <f>SUM(D16:O16)</f>
        <v>6659.74</v>
      </c>
    </row>
    <row r="17" spans="1:16" ht="15" x14ac:dyDescent="0.2">
      <c r="A17" s="57" t="s">
        <v>58</v>
      </c>
      <c r="B17" s="57" t="s">
        <v>189</v>
      </c>
      <c r="C17" s="193"/>
      <c r="D17" s="9">
        <v>182210.25</v>
      </c>
      <c r="E17" s="9">
        <v>251971</v>
      </c>
      <c r="F17" s="9">
        <v>133518.75</v>
      </c>
      <c r="G17" s="9">
        <v>129308</v>
      </c>
      <c r="H17" s="9">
        <v>146325.25</v>
      </c>
      <c r="I17" s="9">
        <v>116067.75</v>
      </c>
      <c r="J17" s="9">
        <v>171526.25</v>
      </c>
      <c r="K17" s="9">
        <v>128578.75</v>
      </c>
      <c r="L17" s="9">
        <v>161009.5</v>
      </c>
      <c r="M17" s="9">
        <v>137246</v>
      </c>
      <c r="N17" s="9">
        <v>140916.25</v>
      </c>
      <c r="O17" s="9">
        <v>277678</v>
      </c>
      <c r="P17" s="9">
        <f>SUM(D17:O17)</f>
        <v>1976355.75</v>
      </c>
    </row>
    <row r="18" spans="1:16" ht="15" x14ac:dyDescent="0.2">
      <c r="A18" s="193" t="s">
        <v>133</v>
      </c>
      <c r="B18" s="193" t="s">
        <v>190</v>
      </c>
      <c r="C18" s="193"/>
      <c r="D18" s="9">
        <v>58735</v>
      </c>
      <c r="E18" s="9">
        <v>79675</v>
      </c>
      <c r="F18" s="9">
        <v>74390</v>
      </c>
      <c r="G18" s="9">
        <v>57195</v>
      </c>
      <c r="H18" s="9">
        <v>59250</v>
      </c>
      <c r="I18" s="9">
        <v>47235</v>
      </c>
      <c r="J18" s="9">
        <v>62905</v>
      </c>
      <c r="K18" s="9">
        <v>44640</v>
      </c>
      <c r="L18" s="9">
        <v>57105</v>
      </c>
      <c r="M18" s="9">
        <v>45750</v>
      </c>
      <c r="N18" s="9">
        <v>42075</v>
      </c>
      <c r="O18" s="9">
        <v>61105</v>
      </c>
      <c r="P18" s="9">
        <f>SUM(D18:O18)</f>
        <v>690060</v>
      </c>
    </row>
    <row r="19" spans="1:16" x14ac:dyDescent="0.2">
      <c r="D19" s="9">
        <f>SUM(D16:D18)</f>
        <v>240945.25</v>
      </c>
      <c r="E19" s="9">
        <f t="shared" ref="E19" si="2">SUM(E16:E18)</f>
        <v>331646</v>
      </c>
      <c r="F19" s="9">
        <f t="shared" ref="F19" si="3">SUM(F16:F18)</f>
        <v>214388.49</v>
      </c>
      <c r="G19" s="9">
        <f t="shared" ref="G19" si="4">SUM(G16:G18)</f>
        <v>186503</v>
      </c>
      <c r="H19" s="9">
        <f t="shared" ref="H19" si="5">SUM(H16:H18)</f>
        <v>205575.25</v>
      </c>
      <c r="I19" s="9">
        <f t="shared" ref="I19" si="6">SUM(I16:I18)</f>
        <v>163302.75</v>
      </c>
      <c r="J19" s="9">
        <f t="shared" ref="J19" si="7">SUM(J16:J18)</f>
        <v>234431.25</v>
      </c>
      <c r="K19" s="9">
        <f t="shared" ref="K19" si="8">SUM(K16:K18)</f>
        <v>173305</v>
      </c>
      <c r="L19" s="9">
        <f t="shared" ref="L19" si="9">SUM(L16:L18)</f>
        <v>218208.25</v>
      </c>
      <c r="M19" s="9">
        <f t="shared" ref="M19" si="10">SUM(M16:M18)</f>
        <v>182996</v>
      </c>
      <c r="N19" s="9">
        <f t="shared" ref="N19" si="11">SUM(N16:N18)</f>
        <v>182991.25</v>
      </c>
      <c r="O19" s="9">
        <f t="shared" ref="O19" si="12">SUM(O16:O18)</f>
        <v>338783</v>
      </c>
      <c r="P19" s="9">
        <f t="shared" ref="P19" si="13">SUM(P16:P18)</f>
        <v>2673075.4900000002</v>
      </c>
    </row>
    <row r="22" spans="1:16" ht="15.75" x14ac:dyDescent="0.25">
      <c r="A22" s="194" t="s">
        <v>230</v>
      </c>
      <c r="B22" s="194"/>
      <c r="C22" s="194"/>
    </row>
    <row r="23" spans="1:16" ht="15" x14ac:dyDescent="0.2">
      <c r="A23" s="57" t="s">
        <v>109</v>
      </c>
      <c r="B23" s="57" t="s">
        <v>110</v>
      </c>
      <c r="C23" s="193"/>
      <c r="D23" s="9">
        <f>D10+D16</f>
        <v>0</v>
      </c>
      <c r="E23" s="9">
        <f t="shared" ref="E23:O23" si="14">E10+E16</f>
        <v>0</v>
      </c>
      <c r="F23" s="9">
        <f t="shared" si="14"/>
        <v>6618.49</v>
      </c>
      <c r="G23" s="9">
        <f t="shared" si="14"/>
        <v>723.75</v>
      </c>
      <c r="H23" s="9">
        <f t="shared" si="14"/>
        <v>0</v>
      </c>
      <c r="I23" s="9">
        <f t="shared" si="14"/>
        <v>0</v>
      </c>
      <c r="J23" s="9">
        <f t="shared" si="14"/>
        <v>1363.75</v>
      </c>
      <c r="K23" s="9">
        <f t="shared" si="14"/>
        <v>86.25</v>
      </c>
      <c r="L23" s="9">
        <f t="shared" si="14"/>
        <v>93.75</v>
      </c>
      <c r="M23" s="9">
        <f t="shared" si="14"/>
        <v>0</v>
      </c>
      <c r="N23" s="9">
        <f t="shared" si="14"/>
        <v>0</v>
      </c>
      <c r="O23" s="9">
        <f t="shared" si="14"/>
        <v>0</v>
      </c>
      <c r="P23" s="9">
        <f>SUM(D23:O23)</f>
        <v>8885.99</v>
      </c>
    </row>
    <row r="24" spans="1:16" ht="15" x14ac:dyDescent="0.2">
      <c r="A24" s="57" t="s">
        <v>58</v>
      </c>
      <c r="B24" s="57" t="s">
        <v>189</v>
      </c>
      <c r="C24" s="193"/>
      <c r="D24" s="9">
        <f t="shared" ref="D24:O25" si="15">D11+D17</f>
        <v>355855.5</v>
      </c>
      <c r="E24" s="9">
        <f t="shared" si="15"/>
        <v>472296.25</v>
      </c>
      <c r="F24" s="9">
        <f t="shared" si="15"/>
        <v>249959.75</v>
      </c>
      <c r="G24" s="9">
        <f t="shared" si="15"/>
        <v>250925.75</v>
      </c>
      <c r="H24" s="9">
        <f t="shared" si="15"/>
        <v>275346.5</v>
      </c>
      <c r="I24" s="9">
        <f t="shared" si="15"/>
        <v>232744.75</v>
      </c>
      <c r="J24" s="9">
        <f t="shared" si="15"/>
        <v>325775</v>
      </c>
      <c r="K24" s="9">
        <f t="shared" si="15"/>
        <v>266785.75</v>
      </c>
      <c r="L24" s="9">
        <f t="shared" si="15"/>
        <v>312065</v>
      </c>
      <c r="M24" s="9">
        <f t="shared" si="15"/>
        <v>271884.5</v>
      </c>
      <c r="N24" s="9">
        <f t="shared" si="15"/>
        <v>335203.48</v>
      </c>
      <c r="O24" s="9">
        <f t="shared" si="15"/>
        <v>510079.75</v>
      </c>
      <c r="P24" s="9">
        <f>SUM(D24:O24)</f>
        <v>3858921.98</v>
      </c>
    </row>
    <row r="25" spans="1:16" ht="15" x14ac:dyDescent="0.2">
      <c r="A25" s="193" t="s">
        <v>133</v>
      </c>
      <c r="B25" s="193" t="s">
        <v>190</v>
      </c>
      <c r="C25" s="193"/>
      <c r="D25" s="9">
        <f t="shared" si="15"/>
        <v>107975</v>
      </c>
      <c r="E25" s="9">
        <f t="shared" si="15"/>
        <v>142950</v>
      </c>
      <c r="F25" s="9">
        <f t="shared" si="15"/>
        <v>114735</v>
      </c>
      <c r="G25" s="9">
        <f t="shared" si="15"/>
        <v>101800</v>
      </c>
      <c r="H25" s="9">
        <f t="shared" si="15"/>
        <v>115130</v>
      </c>
      <c r="I25" s="9">
        <f t="shared" si="15"/>
        <v>96120</v>
      </c>
      <c r="J25" s="9">
        <f t="shared" si="15"/>
        <v>122885</v>
      </c>
      <c r="K25" s="9">
        <f t="shared" si="15"/>
        <v>97500</v>
      </c>
      <c r="L25" s="9">
        <f t="shared" si="15"/>
        <v>116535</v>
      </c>
      <c r="M25" s="9">
        <f t="shared" si="15"/>
        <v>96147</v>
      </c>
      <c r="N25" s="9">
        <f t="shared" si="15"/>
        <v>99357</v>
      </c>
      <c r="O25" s="9">
        <f t="shared" si="15"/>
        <v>119685</v>
      </c>
      <c r="P25" s="9">
        <f>SUM(D25:O25)</f>
        <v>1330819</v>
      </c>
    </row>
    <row r="26" spans="1:16" x14ac:dyDescent="0.2">
      <c r="D26" s="9">
        <f>SUM(D23:D25)</f>
        <v>463830.5</v>
      </c>
      <c r="E26" s="9">
        <f t="shared" ref="E26:P26" si="16">SUM(E23:E25)</f>
        <v>615246.25</v>
      </c>
      <c r="F26" s="9">
        <f t="shared" si="16"/>
        <v>371313.24</v>
      </c>
      <c r="G26" s="9">
        <f t="shared" si="16"/>
        <v>353449.5</v>
      </c>
      <c r="H26" s="9">
        <f t="shared" si="16"/>
        <v>390476.5</v>
      </c>
      <c r="I26" s="9">
        <f t="shared" si="16"/>
        <v>328864.75</v>
      </c>
      <c r="J26" s="9">
        <f t="shared" si="16"/>
        <v>450023.75</v>
      </c>
      <c r="K26" s="9">
        <f t="shared" si="16"/>
        <v>364372</v>
      </c>
      <c r="L26" s="9">
        <f t="shared" si="16"/>
        <v>428693.75</v>
      </c>
      <c r="M26" s="9">
        <f t="shared" si="16"/>
        <v>368031.5</v>
      </c>
      <c r="N26" s="9">
        <f t="shared" si="16"/>
        <v>434560.48</v>
      </c>
      <c r="O26" s="9">
        <f t="shared" si="16"/>
        <v>629764.75</v>
      </c>
      <c r="P26" s="9">
        <f t="shared" si="16"/>
        <v>5198626.9700000007</v>
      </c>
    </row>
    <row r="29" spans="1:16" ht="15.75" x14ac:dyDescent="0.25">
      <c r="A29" s="194" t="s">
        <v>231</v>
      </c>
      <c r="B29" s="194"/>
      <c r="C29" s="194"/>
    </row>
    <row r="30" spans="1:16" ht="15" x14ac:dyDescent="0.2">
      <c r="A30" s="57" t="s">
        <v>109</v>
      </c>
      <c r="B30" s="57" t="s">
        <v>110</v>
      </c>
      <c r="C30" s="193"/>
      <c r="D30" s="316">
        <f>D23/$P23</f>
        <v>0</v>
      </c>
      <c r="E30" s="316">
        <f t="shared" ref="E30:O30" si="17">E23/$P23</f>
        <v>0</v>
      </c>
      <c r="F30" s="316">
        <f t="shared" si="17"/>
        <v>0.74482303041079267</v>
      </c>
      <c r="G30" s="316">
        <f t="shared" si="17"/>
        <v>8.144843737163783E-2</v>
      </c>
      <c r="H30" s="316">
        <f t="shared" si="17"/>
        <v>0</v>
      </c>
      <c r="I30" s="316">
        <f t="shared" si="17"/>
        <v>0</v>
      </c>
      <c r="J30" s="316">
        <f t="shared" si="17"/>
        <v>0.15347192603187715</v>
      </c>
      <c r="K30" s="316">
        <f t="shared" si="17"/>
        <v>9.7062904639775641E-3</v>
      </c>
      <c r="L30" s="316">
        <f t="shared" si="17"/>
        <v>1.0550315721714745E-2</v>
      </c>
      <c r="M30" s="316">
        <f t="shared" si="17"/>
        <v>0</v>
      </c>
      <c r="N30" s="316">
        <f t="shared" si="17"/>
        <v>0</v>
      </c>
      <c r="O30" s="316">
        <f t="shared" si="17"/>
        <v>0</v>
      </c>
      <c r="P30" s="316">
        <f>SUM(D30:O30)</f>
        <v>0.99999999999999989</v>
      </c>
    </row>
    <row r="31" spans="1:16" ht="15" x14ac:dyDescent="0.2">
      <c r="A31" s="57" t="s">
        <v>58</v>
      </c>
      <c r="B31" s="57" t="s">
        <v>189</v>
      </c>
      <c r="C31" s="193"/>
      <c r="D31" s="316">
        <f t="shared" ref="D31:O33" si="18">D24/$P24</f>
        <v>9.2216298190097121E-2</v>
      </c>
      <c r="E31" s="316">
        <f t="shared" si="18"/>
        <v>0.12239072270644871</v>
      </c>
      <c r="F31" s="316">
        <f t="shared" si="18"/>
        <v>6.4774502126627609E-2</v>
      </c>
      <c r="G31" s="316">
        <f t="shared" si="18"/>
        <v>6.5024831105810546E-2</v>
      </c>
      <c r="H31" s="316">
        <f t="shared" si="18"/>
        <v>7.1353217667282295E-2</v>
      </c>
      <c r="I31" s="316">
        <f t="shared" si="18"/>
        <v>6.0313411674625256E-2</v>
      </c>
      <c r="J31" s="316">
        <f t="shared" si="18"/>
        <v>8.4421245541740644E-2</v>
      </c>
      <c r="K31" s="316">
        <f t="shared" si="18"/>
        <v>6.9134787223658775E-2</v>
      </c>
      <c r="L31" s="316">
        <f t="shared" si="18"/>
        <v>8.0868439843398962E-2</v>
      </c>
      <c r="M31" s="316">
        <f t="shared" si="18"/>
        <v>7.0456075922011779E-2</v>
      </c>
      <c r="N31" s="316">
        <f t="shared" si="18"/>
        <v>8.6864539303279711E-2</v>
      </c>
      <c r="O31" s="316">
        <f t="shared" si="18"/>
        <v>0.1321819286950186</v>
      </c>
      <c r="P31" s="316">
        <f>SUM(D31:O31)</f>
        <v>1</v>
      </c>
    </row>
    <row r="32" spans="1:16" ht="15" x14ac:dyDescent="0.2">
      <c r="A32" s="193" t="s">
        <v>133</v>
      </c>
      <c r="B32" s="193" t="s">
        <v>190</v>
      </c>
      <c r="C32" s="193"/>
      <c r="D32" s="316">
        <f t="shared" si="18"/>
        <v>8.1134248909881815E-2</v>
      </c>
      <c r="E32" s="316">
        <f t="shared" si="18"/>
        <v>0.10741505794552077</v>
      </c>
      <c r="F32" s="316">
        <f t="shared" si="18"/>
        <v>8.6213827725633616E-2</v>
      </c>
      <c r="G32" s="316">
        <f t="shared" si="18"/>
        <v>7.6494249030108527E-2</v>
      </c>
      <c r="H32" s="316">
        <f t="shared" si="18"/>
        <v>8.6510637434542181E-2</v>
      </c>
      <c r="I32" s="316">
        <f t="shared" si="18"/>
        <v>7.2226200557701681E-2</v>
      </c>
      <c r="J32" s="316">
        <f t="shared" si="18"/>
        <v>9.2337876149949774E-2</v>
      </c>
      <c r="K32" s="316">
        <f t="shared" si="18"/>
        <v>7.3263155996420248E-2</v>
      </c>
      <c r="L32" s="316">
        <f t="shared" si="18"/>
        <v>8.7566378297875225E-2</v>
      </c>
      <c r="M32" s="316">
        <f t="shared" si="18"/>
        <v>7.2246488816285315E-2</v>
      </c>
      <c r="N32" s="316">
        <f t="shared" si="18"/>
        <v>7.4658537336782835E-2</v>
      </c>
      <c r="O32" s="316">
        <f t="shared" si="18"/>
        <v>8.9933341799298031E-2</v>
      </c>
      <c r="P32" s="316">
        <f>SUM(D32:O32)</f>
        <v>1.0000000000000002</v>
      </c>
    </row>
    <row r="33" spans="4:16" x14ac:dyDescent="0.2">
      <c r="D33" s="316">
        <f t="shared" si="18"/>
        <v>8.9221731560400835E-2</v>
      </c>
      <c r="E33" s="316">
        <f t="shared" si="18"/>
        <v>0.11834783560167617</v>
      </c>
      <c r="F33" s="316">
        <f t="shared" si="18"/>
        <v>7.1425251733343728E-2</v>
      </c>
      <c r="G33" s="316">
        <f t="shared" si="18"/>
        <v>6.7989009798100589E-2</v>
      </c>
      <c r="H33" s="316">
        <f t="shared" si="18"/>
        <v>7.5111467365006943E-2</v>
      </c>
      <c r="I33" s="316">
        <f t="shared" si="18"/>
        <v>6.3259924571968273E-2</v>
      </c>
      <c r="J33" s="316">
        <f t="shared" si="18"/>
        <v>8.656588606895177E-2</v>
      </c>
      <c r="K33" s="316">
        <f t="shared" si="18"/>
        <v>7.0090045333643158E-2</v>
      </c>
      <c r="L33" s="316">
        <f t="shared" si="18"/>
        <v>8.2462879616846202E-2</v>
      </c>
      <c r="M33" s="316">
        <f t="shared" si="18"/>
        <v>7.0793981203848513E-2</v>
      </c>
      <c r="N33" s="316">
        <f t="shared" si="18"/>
        <v>8.3591394902489013E-2</v>
      </c>
      <c r="O33" s="316">
        <f t="shared" si="18"/>
        <v>0.12114059224372467</v>
      </c>
      <c r="P33" s="316">
        <f>SUM(D33:O33)</f>
        <v>0.99999999999999978</v>
      </c>
    </row>
  </sheetData>
  <printOptions horizontalCentered="1"/>
  <pageMargins left="0.45" right="0.45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Mgmnt Letter</vt:lpstr>
      <vt:lpstr>Summary Rollup</vt:lpstr>
      <vt:lpstr>9397 BOEE</vt:lpstr>
      <vt:lpstr>2217 Teachers Certs Clearing</vt:lpstr>
      <vt:lpstr>Receipts by MO</vt:lpstr>
      <vt:lpstr>Obligations vs Bgt</vt:lpstr>
      <vt:lpstr>Expenditures Graph Data</vt:lpstr>
      <vt:lpstr>9500 BOEE</vt:lpstr>
      <vt:lpstr>Revenue Forecast</vt:lpstr>
      <vt:lpstr>Fcst by Job Class</vt:lpstr>
      <vt:lpstr>Blank Template</vt:lpstr>
      <vt:lpstr>Receipts</vt:lpstr>
      <vt:lpstr>Expenditures All</vt:lpstr>
      <vt:lpstr>Expenditures</vt:lpstr>
      <vt:lpstr>'2217 Teachers Certs Clearing'!Print_Area</vt:lpstr>
      <vt:lpstr>'9397 BOEE'!Print_Area</vt:lpstr>
      <vt:lpstr>'Blank Template'!Print_Area</vt:lpstr>
      <vt:lpstr>'Expenditures Graph Data'!Print_Area</vt:lpstr>
      <vt:lpstr>'Mgmnt Letter'!Print_Area</vt:lpstr>
      <vt:lpstr>'Obligations vs Bgt'!Print_Area</vt:lpstr>
      <vt:lpstr>'Summary Rollup'!Print_Area</vt:lpstr>
      <vt:lpstr>'2217 Teachers Certs Clearing'!Print_Titles</vt:lpstr>
      <vt:lpstr>'9397 BOEE'!Print_Titles</vt:lpstr>
      <vt:lpstr>'Blank Template'!Print_Titles</vt:lpstr>
      <vt:lpstr>'Summary Rollup'!Print_Titles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Randall.Lagerblade@iowa.gov</dc:creator>
  <cp:lastModifiedBy>Albers, Lisa [IDOE]</cp:lastModifiedBy>
  <cp:lastPrinted>2025-03-04T14:25:32Z</cp:lastPrinted>
  <dcterms:created xsi:type="dcterms:W3CDTF">2015-04-28T12:49:55Z</dcterms:created>
  <dcterms:modified xsi:type="dcterms:W3CDTF">2025-03-10T16:35:02Z</dcterms:modified>
</cp:coreProperties>
</file>